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74" r:id="rId19"/>
    <sheet name="THEGT" sheetId="75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  <externalReference r:id="rId26"/>
  </externalReferences>
  <definedNames>
    <definedName name="_C111">TH!$Q$10:$Q$1761</definedName>
    <definedName name="_C112">TH!$T$10:$T$1761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TH!$A$9:$X$1639</definedName>
    <definedName name="_xlnm._FilterDatabase" localSheetId="17" hidden="1">TK!$A$1:$J$1</definedName>
    <definedName name="_M">TH!$B$10:$B$1761</definedName>
    <definedName name="_N111">TH!$P$10:$P$1761</definedName>
    <definedName name="_N112">TH!$S$10:$S$1761</definedName>
    <definedName name="_TM1">IF('IN-TC'!$S$4=1,1,IF('IN-TC'!$S$4=2,4,IF('IN-TC'!$S$4=3,7,10)))</definedName>
    <definedName name="_TM2">IF('IN-TC'!$S$4=1,3,IF('IN-TC'!$S$4=2,6,IF('IN-TC'!$S$4=3,9,12)))</definedName>
    <definedName name="DG">TH!$J$10:$J$1761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'131'!$B$4:$B$50</definedName>
    <definedName name="DSGT1">BTGT!$B$7:$B$19</definedName>
    <definedName name="DSGT2">BTGT!$B$28:$B$37</definedName>
    <definedName name="DSGT3">BTGT!$B$53:$B$70</definedName>
    <definedName name="DSGT4">BTGT!$B$78:$B$99</definedName>
    <definedName name="DSKH">'331'!$B$4:$B$14</definedName>
    <definedName name="DSKU">'341'!$B$4:$B$15</definedName>
    <definedName name="DSSP1">BTGT!$B$7:$M$19</definedName>
    <definedName name="DSSP2">BTGT!$B$28:$M$37</definedName>
    <definedName name="DSSP3">BTGT!$B$53:$M$70</definedName>
    <definedName name="DSSP4">BTGT!$B$78:$M$99</definedName>
    <definedName name="DSTK">CDPS!$A$10:$D$67</definedName>
    <definedName name="DSTS1">'SO-TS'!$D$14:$D$17</definedName>
    <definedName name="DSTS2">'SO-TS'!#REF!</definedName>
    <definedName name="KH">TH!$H$10:$H$1761</definedName>
    <definedName name="KHC">TH!$M$10:$M$1761</definedName>
    <definedName name="KHN">TH!$L$10:$L$1761</definedName>
    <definedName name="Loai">OFFSET(TH!$N$5,,,COUNTA(TH!$N$5:$N$40071))</definedName>
    <definedName name="Loai1">OFFSET(TH!$O$5,,,COUNTA(TH!$O$5:$O$40071))</definedName>
    <definedName name="Loai11">OFFSET(TH!$W$5,,,COUNTA(TH!$W$5:$W$40071))</definedName>
    <definedName name="Loai2">OFFSET(TH!$R$5,,,COUNTA(TH!$R$5:$R$40071))</definedName>
    <definedName name="Loai3">OFFSET('SO-TS'!$P$14,,,COUNTA('SO-TS'!$P$14:$P$3883))</definedName>
    <definedName name="Loai4">OFFSET(TH!$U$5,,,COUNTA(TH!$U$5:$U$40071))</definedName>
    <definedName name="Loai5">OFFSET(TH!$V$5,,,COUNTA(TH!$V$5:$V$40071))</definedName>
    <definedName name="Loai6">OFFSET(TH!$AA$5,,,COUNTA(TH!$AA$5:$AA$40071))</definedName>
    <definedName name="Loai7">OFFSET(TH!$X$5,,,COUNTA(TH!$X$5:$X$40071))</definedName>
    <definedName name="Loai8">OFFSET(TH!$Y$5,,,COUNTA(TH!$Y$5:$Y$40071))</definedName>
    <definedName name="Loai9">OFFSET(TH!$Z$5,,,COUNTA(TH!$Z$5:$Z$40071))</definedName>
    <definedName name="MH">TH!$F$10:$F$1761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'131'!$A$1:$H$51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'THE-TS'!$A$2:$H$50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TH!$I$10:$I$1761</definedName>
    <definedName name="TH">TH!$K$10:$K$1761</definedName>
    <definedName name="TM">TH!$A$10:$M$1761</definedName>
  </definedNames>
  <calcPr calcId="144525"/>
</workbook>
</file>

<file path=xl/calcChain.xml><?xml version="1.0" encoding="utf-8"?>
<calcChain xmlns="http://schemas.openxmlformats.org/spreadsheetml/2006/main">
  <c r="A8" i="74" l="1"/>
  <c r="M8" i="74"/>
  <c r="T8" i="74"/>
  <c r="C8" i="74" s="1"/>
  <c r="Y8" i="74"/>
  <c r="A9" i="74"/>
  <c r="M9" i="74"/>
  <c r="T9" i="74"/>
  <c r="C9" i="74" s="1"/>
  <c r="Y9" i="74"/>
  <c r="A10" i="74"/>
  <c r="M10" i="74"/>
  <c r="T10" i="74"/>
  <c r="C10" i="74" s="1"/>
  <c r="Y10" i="74"/>
  <c r="A11" i="74"/>
  <c r="M11" i="74"/>
  <c r="T11" i="74"/>
  <c r="C11" i="74" s="1"/>
  <c r="Y11" i="74"/>
  <c r="A12" i="74"/>
  <c r="M12" i="74"/>
  <c r="T12" i="74"/>
  <c r="C12" i="74" s="1"/>
  <c r="Y12" i="74"/>
  <c r="A13" i="74"/>
  <c r="C13" i="74"/>
  <c r="M13" i="74"/>
  <c r="T13" i="74"/>
  <c r="Y13" i="74"/>
  <c r="A14" i="74"/>
  <c r="C14" i="74"/>
  <c r="M14" i="74"/>
  <c r="T14" i="74"/>
  <c r="Y14" i="74"/>
  <c r="A15" i="74"/>
  <c r="C15" i="74"/>
  <c r="M15" i="74"/>
  <c r="T15" i="74"/>
  <c r="Y15" i="74"/>
  <c r="A16" i="74"/>
  <c r="C16" i="74"/>
  <c r="M16" i="74"/>
  <c r="T16" i="74"/>
  <c r="Y16" i="74"/>
  <c r="A17" i="74"/>
  <c r="C17" i="74"/>
  <c r="M17" i="74"/>
  <c r="T17" i="74"/>
  <c r="Y17" i="74"/>
  <c r="A18" i="74"/>
  <c r="C18" i="74"/>
  <c r="M18" i="74"/>
  <c r="T18" i="74"/>
  <c r="Y18" i="74"/>
  <c r="K31" i="34"/>
  <c r="K30" i="34"/>
  <c r="K29" i="34"/>
  <c r="K28" i="34"/>
  <c r="N33" i="34"/>
  <c r="R33" i="34"/>
  <c r="S33" i="34"/>
  <c r="T33" i="34"/>
  <c r="U33" i="34"/>
  <c r="V33" i="34"/>
  <c r="W33" i="34"/>
  <c r="N34" i="34"/>
  <c r="R34" i="34"/>
  <c r="S34" i="34"/>
  <c r="T34" i="34"/>
  <c r="U34" i="34"/>
  <c r="V34" i="34"/>
  <c r="W34" i="34"/>
  <c r="Y34" i="34"/>
  <c r="Z34" i="34"/>
  <c r="N35" i="34"/>
  <c r="R35" i="34"/>
  <c r="S35" i="34"/>
  <c r="T35" i="34"/>
  <c r="U35" i="34"/>
  <c r="V35" i="34"/>
  <c r="W35" i="34"/>
  <c r="N36" i="34"/>
  <c r="R36" i="34"/>
  <c r="S36" i="34"/>
  <c r="T36" i="34"/>
  <c r="U36" i="34"/>
  <c r="V36" i="34"/>
  <c r="W36" i="34"/>
  <c r="Y36" i="34"/>
  <c r="Z36" i="34"/>
  <c r="N37" i="34"/>
  <c r="R37" i="34"/>
  <c r="S37" i="34"/>
  <c r="T37" i="34"/>
  <c r="U37" i="34"/>
  <c r="V37" i="34"/>
  <c r="W37" i="34"/>
  <c r="N38" i="34"/>
  <c r="R38" i="34"/>
  <c r="S38" i="34"/>
  <c r="T38" i="34"/>
  <c r="U38" i="34"/>
  <c r="V38" i="34"/>
  <c r="W38" i="34"/>
  <c r="Y38" i="34"/>
  <c r="Z38" i="34"/>
  <c r="N39" i="34"/>
  <c r="R39" i="34"/>
  <c r="S39" i="34"/>
  <c r="T39" i="34"/>
  <c r="U39" i="34"/>
  <c r="V39" i="34"/>
  <c r="W39" i="34"/>
  <c r="N40" i="34"/>
  <c r="R40" i="34"/>
  <c r="S40" i="34"/>
  <c r="T40" i="34"/>
  <c r="U40" i="34"/>
  <c r="V40" i="34"/>
  <c r="W40" i="34"/>
  <c r="Y40" i="34"/>
  <c r="Z40" i="34"/>
  <c r="N41" i="34"/>
  <c r="R41" i="34"/>
  <c r="S41" i="34"/>
  <c r="T41" i="34"/>
  <c r="U41" i="34"/>
  <c r="V41" i="34"/>
  <c r="W41" i="34"/>
  <c r="N42" i="34"/>
  <c r="R42" i="34"/>
  <c r="S42" i="34"/>
  <c r="T42" i="34"/>
  <c r="U42" i="34"/>
  <c r="V42" i="34"/>
  <c r="W42" i="34"/>
  <c r="Y42" i="34"/>
  <c r="Z42" i="34"/>
  <c r="N43" i="34"/>
  <c r="R43" i="34"/>
  <c r="S43" i="34"/>
  <c r="T43" i="34"/>
  <c r="U43" i="34"/>
  <c r="V43" i="34"/>
  <c r="W43" i="34"/>
  <c r="N44" i="34"/>
  <c r="R44" i="34"/>
  <c r="S44" i="34"/>
  <c r="T44" i="34"/>
  <c r="U44" i="34"/>
  <c r="V44" i="34"/>
  <c r="W44" i="34"/>
  <c r="Y44" i="34"/>
  <c r="Z44" i="34"/>
  <c r="N45" i="34"/>
  <c r="R45" i="34"/>
  <c r="S45" i="34"/>
  <c r="T45" i="34"/>
  <c r="U45" i="34"/>
  <c r="V45" i="34"/>
  <c r="W45" i="34"/>
  <c r="N46" i="34"/>
  <c r="R46" i="34"/>
  <c r="S46" i="34"/>
  <c r="T46" i="34"/>
  <c r="U46" i="34"/>
  <c r="V46" i="34"/>
  <c r="W46" i="34"/>
  <c r="Y46" i="34"/>
  <c r="Z46" i="34"/>
  <c r="N47" i="34"/>
  <c r="R47" i="34"/>
  <c r="S47" i="34"/>
  <c r="T47" i="34"/>
  <c r="U47" i="34"/>
  <c r="V47" i="34"/>
  <c r="W47" i="34"/>
  <c r="N48" i="34"/>
  <c r="R48" i="34"/>
  <c r="S48" i="34"/>
  <c r="T48" i="34"/>
  <c r="U48" i="34"/>
  <c r="V48" i="34"/>
  <c r="W48" i="34"/>
  <c r="Y48" i="34"/>
  <c r="Z48" i="34"/>
  <c r="N49" i="34"/>
  <c r="R49" i="34"/>
  <c r="S49" i="34"/>
  <c r="T49" i="34"/>
  <c r="U49" i="34"/>
  <c r="V49" i="34"/>
  <c r="W49" i="34"/>
  <c r="N50" i="34"/>
  <c r="R50" i="34"/>
  <c r="S50" i="34"/>
  <c r="T50" i="34"/>
  <c r="U50" i="34"/>
  <c r="V50" i="34"/>
  <c r="W50" i="34"/>
  <c r="Y50" i="34"/>
  <c r="Z50" i="34"/>
  <c r="N51" i="34"/>
  <c r="R51" i="34"/>
  <c r="S51" i="34"/>
  <c r="T51" i="34"/>
  <c r="U51" i="34"/>
  <c r="V51" i="34"/>
  <c r="W51" i="34"/>
  <c r="N52" i="34"/>
  <c r="R52" i="34"/>
  <c r="S52" i="34"/>
  <c r="T52" i="34"/>
  <c r="U52" i="34"/>
  <c r="V52" i="34"/>
  <c r="W52" i="34"/>
  <c r="Y52" i="34"/>
  <c r="Z52" i="34"/>
  <c r="N53" i="34"/>
  <c r="R53" i="34"/>
  <c r="S53" i="34"/>
  <c r="T53" i="34"/>
  <c r="U53" i="34"/>
  <c r="V53" i="34"/>
  <c r="W53" i="34"/>
  <c r="N54" i="34"/>
  <c r="R54" i="34"/>
  <c r="S54" i="34"/>
  <c r="T54" i="34"/>
  <c r="U54" i="34"/>
  <c r="V54" i="34"/>
  <c r="W54" i="34"/>
  <c r="Y54" i="34"/>
  <c r="Z54" i="34"/>
  <c r="N55" i="34"/>
  <c r="R55" i="34"/>
  <c r="S55" i="34"/>
  <c r="T55" i="34"/>
  <c r="U55" i="34"/>
  <c r="V55" i="34"/>
  <c r="W55" i="34"/>
  <c r="N56" i="34"/>
  <c r="U56" i="34"/>
  <c r="V56" i="34"/>
  <c r="W56" i="34"/>
  <c r="Y56" i="34"/>
  <c r="Z56" i="34"/>
  <c r="N57" i="34"/>
  <c r="U57" i="34"/>
  <c r="V57" i="34"/>
  <c r="W57" i="34"/>
  <c r="Y57" i="34"/>
  <c r="Z57" i="34"/>
  <c r="F55" i="34"/>
  <c r="Z55" i="34" s="1"/>
  <c r="C55" i="34"/>
  <c r="B55" i="34" s="1"/>
  <c r="Q55" i="34" s="1"/>
  <c r="C54" i="34"/>
  <c r="B54" i="34" s="1"/>
  <c r="P54" i="34" s="1"/>
  <c r="F53" i="34"/>
  <c r="Z53" i="34" s="1"/>
  <c r="C53" i="34"/>
  <c r="B53" i="34" s="1"/>
  <c r="O53" i="34" s="1"/>
  <c r="C52" i="34"/>
  <c r="B52" i="34" s="1"/>
  <c r="P52" i="34" s="1"/>
  <c r="F51" i="34"/>
  <c r="Z51" i="34" s="1"/>
  <c r="C51" i="34"/>
  <c r="B51" i="34" s="1"/>
  <c r="O51" i="34" s="1"/>
  <c r="C50" i="34"/>
  <c r="B50" i="34" s="1"/>
  <c r="P50" i="34" s="1"/>
  <c r="F49" i="34"/>
  <c r="Z49" i="34" s="1"/>
  <c r="C49" i="34"/>
  <c r="B49" i="34" s="1"/>
  <c r="O49" i="34" s="1"/>
  <c r="C48" i="34"/>
  <c r="B48" i="34" s="1"/>
  <c r="P48" i="34" s="1"/>
  <c r="F47" i="34"/>
  <c r="Z47" i="34" s="1"/>
  <c r="C47" i="34"/>
  <c r="B47" i="34" s="1"/>
  <c r="C46" i="34"/>
  <c r="B46" i="34" s="1"/>
  <c r="F45" i="34"/>
  <c r="Z45" i="34" s="1"/>
  <c r="C45" i="34"/>
  <c r="B45" i="34" s="1"/>
  <c r="O45" i="34" s="1"/>
  <c r="C44" i="34"/>
  <c r="B44" i="34" s="1"/>
  <c r="P44" i="34" s="1"/>
  <c r="F43" i="34"/>
  <c r="Z43" i="34" s="1"/>
  <c r="C43" i="34"/>
  <c r="B43" i="34" s="1"/>
  <c r="O43" i="34" s="1"/>
  <c r="C42" i="34"/>
  <c r="B42" i="34" s="1"/>
  <c r="P42" i="34" s="1"/>
  <c r="F41" i="34"/>
  <c r="Z41" i="34" s="1"/>
  <c r="C41" i="34"/>
  <c r="B41" i="34" s="1"/>
  <c r="O41" i="34" s="1"/>
  <c r="C40" i="34"/>
  <c r="B40" i="34" s="1"/>
  <c r="P40" i="34" s="1"/>
  <c r="F39" i="34"/>
  <c r="Z39" i="34" s="1"/>
  <c r="C39" i="34"/>
  <c r="B39" i="34" s="1"/>
  <c r="O39" i="34" s="1"/>
  <c r="C38" i="34"/>
  <c r="B38" i="34" s="1"/>
  <c r="P38" i="34" s="1"/>
  <c r="F37" i="34"/>
  <c r="Z37" i="34" s="1"/>
  <c r="C37" i="34"/>
  <c r="B37" i="34" s="1"/>
  <c r="O37" i="34" s="1"/>
  <c r="C36" i="34"/>
  <c r="B36" i="34" s="1"/>
  <c r="P36" i="34" s="1"/>
  <c r="F35" i="34"/>
  <c r="Z35" i="34" s="1"/>
  <c r="C35" i="34"/>
  <c r="B35" i="34" s="1"/>
  <c r="O35" i="34" s="1"/>
  <c r="C34" i="34"/>
  <c r="B34" i="34" s="1"/>
  <c r="P34" i="34" s="1"/>
  <c r="Z28" i="34"/>
  <c r="Y28" i="34"/>
  <c r="W28" i="34"/>
  <c r="U28" i="34"/>
  <c r="T28" i="34"/>
  <c r="S28" i="34"/>
  <c r="R28" i="34"/>
  <c r="N28" i="34"/>
  <c r="C28" i="34"/>
  <c r="B28" i="34" s="1"/>
  <c r="A28" i="34" s="1"/>
  <c r="Z24" i="34"/>
  <c r="Y24" i="34"/>
  <c r="W24" i="34"/>
  <c r="U24" i="34"/>
  <c r="T24" i="34"/>
  <c r="S24" i="34"/>
  <c r="R24" i="34"/>
  <c r="N24" i="34"/>
  <c r="C24" i="34"/>
  <c r="B24" i="34" s="1"/>
  <c r="A24" i="34" s="1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58" i="34"/>
  <c r="U58" i="34"/>
  <c r="W58" i="34"/>
  <c r="Y58" i="34"/>
  <c r="Z58" i="34"/>
  <c r="N59" i="34"/>
  <c r="U59" i="34"/>
  <c r="W59" i="34"/>
  <c r="Y59" i="34"/>
  <c r="Z59" i="34"/>
  <c r="F33" i="34"/>
  <c r="Z33" i="34" s="1"/>
  <c r="C33" i="34"/>
  <c r="B33" i="34" s="1"/>
  <c r="O33" i="34" s="1"/>
  <c r="C32" i="34"/>
  <c r="B32" i="34" s="1"/>
  <c r="AA32" i="34" s="1"/>
  <c r="N23" i="34"/>
  <c r="R23" i="34"/>
  <c r="S23" i="34"/>
  <c r="T23" i="34"/>
  <c r="U23" i="34"/>
  <c r="W23" i="34"/>
  <c r="Y23" i="34"/>
  <c r="Z23" i="34"/>
  <c r="N25" i="34"/>
  <c r="R25" i="34"/>
  <c r="S25" i="34"/>
  <c r="T25" i="34"/>
  <c r="U25" i="34"/>
  <c r="W25" i="34"/>
  <c r="Y25" i="34"/>
  <c r="Z25" i="34"/>
  <c r="N26" i="34"/>
  <c r="R26" i="34"/>
  <c r="S26" i="34"/>
  <c r="T26" i="34"/>
  <c r="U26" i="34"/>
  <c r="W26" i="34"/>
  <c r="Y26" i="34"/>
  <c r="Z26" i="34"/>
  <c r="N27" i="34"/>
  <c r="R27" i="34"/>
  <c r="S27" i="34"/>
  <c r="T27" i="34"/>
  <c r="U27" i="34"/>
  <c r="W27" i="34"/>
  <c r="Y27" i="34"/>
  <c r="Z27" i="34"/>
  <c r="N29" i="34"/>
  <c r="R29" i="34"/>
  <c r="S29" i="34"/>
  <c r="T29" i="34"/>
  <c r="U29" i="34"/>
  <c r="W29" i="34"/>
  <c r="Y29" i="34"/>
  <c r="Z29" i="34"/>
  <c r="N30" i="34"/>
  <c r="R30" i="34"/>
  <c r="S30" i="34"/>
  <c r="T30" i="34"/>
  <c r="U30" i="34"/>
  <c r="W30" i="34"/>
  <c r="Y30" i="34"/>
  <c r="Z30" i="34"/>
  <c r="N60" i="34"/>
  <c r="U60" i="34"/>
  <c r="W60" i="34"/>
  <c r="Y60" i="34"/>
  <c r="Z60" i="34"/>
  <c r="N61" i="34"/>
  <c r="U61" i="34"/>
  <c r="W61" i="34"/>
  <c r="Y61" i="34"/>
  <c r="Z61" i="34"/>
  <c r="C31" i="34"/>
  <c r="B31" i="34" s="1"/>
  <c r="A31" i="34" s="1"/>
  <c r="C30" i="34"/>
  <c r="B30" i="34" s="1"/>
  <c r="C29" i="34"/>
  <c r="B29" i="34" s="1"/>
  <c r="X29" i="34" s="1"/>
  <c r="C27" i="34"/>
  <c r="B27" i="34" s="1"/>
  <c r="AA27" i="34" s="1"/>
  <c r="C26" i="34"/>
  <c r="B26" i="34" s="1"/>
  <c r="X26" i="34" s="1"/>
  <c r="C25" i="34"/>
  <c r="B25" i="34" s="1"/>
  <c r="Q25" i="34" s="1"/>
  <c r="O47" i="34" l="1"/>
  <c r="A47" i="34"/>
  <c r="AA55" i="34"/>
  <c r="P55" i="34"/>
  <c r="X55" i="34"/>
  <c r="O55" i="34"/>
  <c r="Q30" i="34"/>
  <c r="AA30" i="34"/>
  <c r="X30" i="34"/>
  <c r="A30" i="34"/>
  <c r="P46" i="34"/>
  <c r="X46" i="34"/>
  <c r="Q46" i="34"/>
  <c r="O46" i="34"/>
  <c r="AA46" i="34"/>
  <c r="A26" i="34"/>
  <c r="Y55" i="34"/>
  <c r="AA54" i="34"/>
  <c r="O54" i="34"/>
  <c r="Y53" i="34"/>
  <c r="Q53" i="34"/>
  <c r="AA52" i="34"/>
  <c r="O52" i="34"/>
  <c r="Y51" i="34"/>
  <c r="Q51" i="34"/>
  <c r="AA50" i="34"/>
  <c r="O50" i="34"/>
  <c r="Y49" i="34"/>
  <c r="Q49" i="34"/>
  <c r="AA48" i="34"/>
  <c r="O48" i="34"/>
  <c r="Y47" i="34"/>
  <c r="Q47" i="34"/>
  <c r="Y45" i="34"/>
  <c r="Q45" i="34"/>
  <c r="AA44" i="34"/>
  <c r="O44" i="34"/>
  <c r="Y43" i="34"/>
  <c r="Q43" i="34"/>
  <c r="AA42" i="34"/>
  <c r="O42" i="34"/>
  <c r="Y41" i="34"/>
  <c r="Q41" i="34"/>
  <c r="AA40" i="34"/>
  <c r="O40" i="34"/>
  <c r="Y39" i="34"/>
  <c r="Q39" i="34"/>
  <c r="AA38" i="34"/>
  <c r="O38" i="34"/>
  <c r="Y37" i="34"/>
  <c r="Q37" i="34"/>
  <c r="AA36" i="34"/>
  <c r="O36" i="34"/>
  <c r="Y35" i="34"/>
  <c r="Q35" i="34"/>
  <c r="AA34" i="34"/>
  <c r="O34" i="34"/>
  <c r="Y33" i="34"/>
  <c r="Q33" i="34"/>
  <c r="A29" i="34"/>
  <c r="A25" i="34"/>
  <c r="X53" i="34"/>
  <c r="P53" i="34"/>
  <c r="X51" i="34"/>
  <c r="P51" i="34"/>
  <c r="X49" i="34"/>
  <c r="P49" i="34"/>
  <c r="X47" i="34"/>
  <c r="P47" i="34"/>
  <c r="X45" i="34"/>
  <c r="P45" i="34"/>
  <c r="X43" i="34"/>
  <c r="P43" i="34"/>
  <c r="X41" i="34"/>
  <c r="P41" i="34"/>
  <c r="X39" i="34"/>
  <c r="P39" i="34"/>
  <c r="X37" i="34"/>
  <c r="P37" i="34"/>
  <c r="X35" i="34"/>
  <c r="P35" i="34"/>
  <c r="X33" i="34"/>
  <c r="P33" i="34"/>
  <c r="Q54" i="34"/>
  <c r="AA53" i="34"/>
  <c r="Q52" i="34"/>
  <c r="AA51" i="34"/>
  <c r="Q50" i="34"/>
  <c r="AA49" i="34"/>
  <c r="Q48" i="34"/>
  <c r="AA47" i="34"/>
  <c r="AA45" i="34"/>
  <c r="Q44" i="34"/>
  <c r="AA43" i="34"/>
  <c r="Q42" i="34"/>
  <c r="AA41" i="34"/>
  <c r="Q40" i="34"/>
  <c r="AA39" i="34"/>
  <c r="Q38" i="34"/>
  <c r="AA37" i="34"/>
  <c r="Q36" i="34"/>
  <c r="AA35" i="34"/>
  <c r="Q34" i="34"/>
  <c r="AA33" i="34"/>
  <c r="A27" i="34"/>
  <c r="X54" i="34"/>
  <c r="X52" i="34"/>
  <c r="X50" i="34"/>
  <c r="X48" i="34"/>
  <c r="X44" i="34"/>
  <c r="X42" i="34"/>
  <c r="X40" i="34"/>
  <c r="X38" i="34"/>
  <c r="X36" i="34"/>
  <c r="X34" i="34"/>
  <c r="A55" i="34"/>
  <c r="A54" i="34"/>
  <c r="A49" i="34"/>
  <c r="A46" i="34"/>
  <c r="A41" i="34"/>
  <c r="A39" i="34"/>
  <c r="A38" i="34"/>
  <c r="A52" i="34"/>
  <c r="A53" i="34"/>
  <c r="A50" i="34"/>
  <c r="A48" i="34"/>
  <c r="A51" i="34"/>
  <c r="A44" i="34"/>
  <c r="A45" i="34"/>
  <c r="A42" i="34"/>
  <c r="A40" i="34"/>
  <c r="A43" i="34"/>
  <c r="A36" i="34"/>
  <c r="A37" i="34"/>
  <c r="A34" i="34"/>
  <c r="A35" i="34"/>
  <c r="A33" i="34"/>
  <c r="Q32" i="34"/>
  <c r="P32" i="34"/>
  <c r="A32" i="34"/>
  <c r="X32" i="34"/>
  <c r="O32" i="34"/>
  <c r="AA29" i="34"/>
  <c r="X31" i="34"/>
  <c r="O31" i="34"/>
  <c r="P30" i="34"/>
  <c r="Q29" i="34"/>
  <c r="AA31" i="34"/>
  <c r="O30" i="34"/>
  <c r="P29" i="34"/>
  <c r="Q31" i="34"/>
  <c r="O29" i="34"/>
  <c r="P31" i="34"/>
  <c r="AA28" i="34"/>
  <c r="O28" i="34"/>
  <c r="Q28" i="34"/>
  <c r="X28" i="34"/>
  <c r="P28" i="34"/>
  <c r="O26" i="34"/>
  <c r="P25" i="34"/>
  <c r="Q27" i="34"/>
  <c r="AA26" i="34"/>
  <c r="X25" i="34"/>
  <c r="O25" i="34"/>
  <c r="P27" i="34"/>
  <c r="Q26" i="34"/>
  <c r="AA25" i="34"/>
  <c r="X27" i="34"/>
  <c r="O27" i="34"/>
  <c r="P26" i="34"/>
  <c r="AA24" i="34"/>
  <c r="O24" i="34"/>
  <c r="Q24" i="34"/>
  <c r="X24" i="34"/>
  <c r="P24" i="34"/>
  <c r="A26" i="68"/>
  <c r="B25" i="68" l="1"/>
  <c r="A25" i="68" s="1"/>
  <c r="C25" i="68"/>
  <c r="D25" i="68"/>
  <c r="E25" i="68"/>
  <c r="J15" i="64"/>
  <c r="J16" i="64"/>
  <c r="J14" i="64"/>
  <c r="H95" i="74" l="1"/>
  <c r="E16" i="75"/>
  <c r="B11" i="75"/>
  <c r="D5" i="75"/>
  <c r="A2" i="75"/>
  <c r="A1" i="75"/>
  <c r="L100" i="74"/>
  <c r="Y99" i="74"/>
  <c r="T99" i="74"/>
  <c r="Y98" i="74"/>
  <c r="T98" i="74"/>
  <c r="C98" i="74" s="1"/>
  <c r="M98" i="74"/>
  <c r="I98" i="74"/>
  <c r="H98" i="74"/>
  <c r="G98" i="74"/>
  <c r="F98" i="74"/>
  <c r="E98" i="74"/>
  <c r="D98" i="74"/>
  <c r="A98" i="74"/>
  <c r="Y97" i="74"/>
  <c r="T97" i="74"/>
  <c r="C97" i="74" s="1"/>
  <c r="M97" i="74"/>
  <c r="I97" i="74"/>
  <c r="H97" i="74"/>
  <c r="G97" i="74"/>
  <c r="F97" i="74"/>
  <c r="E97" i="74"/>
  <c r="D97" i="74"/>
  <c r="A97" i="74"/>
  <c r="Y96" i="74"/>
  <c r="T96" i="74"/>
  <c r="C96" i="74" s="1"/>
  <c r="M96" i="74"/>
  <c r="I96" i="74"/>
  <c r="H96" i="74"/>
  <c r="G96" i="74"/>
  <c r="F96" i="74"/>
  <c r="E96" i="74"/>
  <c r="D96" i="74"/>
  <c r="A96" i="74"/>
  <c r="Y95" i="74"/>
  <c r="T95" i="74"/>
  <c r="C95" i="74" s="1"/>
  <c r="M95" i="74"/>
  <c r="I95" i="74"/>
  <c r="G95" i="74"/>
  <c r="F95" i="74"/>
  <c r="E95" i="74"/>
  <c r="D95" i="74"/>
  <c r="A95" i="74"/>
  <c r="Y94" i="74"/>
  <c r="T94" i="74"/>
  <c r="C94" i="74" s="1"/>
  <c r="M94" i="74"/>
  <c r="I94" i="74"/>
  <c r="H94" i="74"/>
  <c r="G94" i="74"/>
  <c r="F94" i="74"/>
  <c r="E94" i="74"/>
  <c r="D94" i="74"/>
  <c r="A94" i="74"/>
  <c r="Y93" i="74"/>
  <c r="T93" i="74"/>
  <c r="C93" i="74" s="1"/>
  <c r="M93" i="74"/>
  <c r="I93" i="74"/>
  <c r="H93" i="74"/>
  <c r="G93" i="74"/>
  <c r="F93" i="74"/>
  <c r="E93" i="74"/>
  <c r="D93" i="74"/>
  <c r="A93" i="74"/>
  <c r="Y92" i="74"/>
  <c r="T92" i="74"/>
  <c r="C92" i="74" s="1"/>
  <c r="M92" i="74"/>
  <c r="I92" i="74"/>
  <c r="H92" i="74"/>
  <c r="G92" i="74"/>
  <c r="F92" i="74"/>
  <c r="E92" i="74"/>
  <c r="D92" i="74"/>
  <c r="A92" i="74"/>
  <c r="Y91" i="74"/>
  <c r="T91" i="74"/>
  <c r="C91" i="74" s="1"/>
  <c r="M91" i="74"/>
  <c r="I91" i="74"/>
  <c r="H91" i="74"/>
  <c r="G91" i="74"/>
  <c r="F91" i="74"/>
  <c r="E91" i="74"/>
  <c r="D91" i="74"/>
  <c r="A91" i="74"/>
  <c r="Y90" i="74"/>
  <c r="T90" i="74"/>
  <c r="C90" i="74" s="1"/>
  <c r="M90" i="74"/>
  <c r="I90" i="74"/>
  <c r="H90" i="74"/>
  <c r="G90" i="74"/>
  <c r="F90" i="74"/>
  <c r="E90" i="74"/>
  <c r="D90" i="74"/>
  <c r="A90" i="74"/>
  <c r="Y89" i="74"/>
  <c r="T89" i="74"/>
  <c r="C89" i="74" s="1"/>
  <c r="M89" i="74"/>
  <c r="I89" i="74"/>
  <c r="H89" i="74"/>
  <c r="G89" i="74"/>
  <c r="F89" i="74"/>
  <c r="E89" i="74"/>
  <c r="D89" i="74"/>
  <c r="A89" i="74"/>
  <c r="Y88" i="74"/>
  <c r="T88" i="74"/>
  <c r="C88" i="74" s="1"/>
  <c r="M88" i="74"/>
  <c r="I88" i="74"/>
  <c r="H88" i="74"/>
  <c r="G88" i="74"/>
  <c r="F88" i="74"/>
  <c r="E88" i="74"/>
  <c r="D88" i="74"/>
  <c r="A88" i="74"/>
  <c r="Y87" i="74"/>
  <c r="T87" i="74"/>
  <c r="C87" i="74" s="1"/>
  <c r="M87" i="74"/>
  <c r="I87" i="74"/>
  <c r="H87" i="74"/>
  <c r="G87" i="74"/>
  <c r="F87" i="74"/>
  <c r="E87" i="74"/>
  <c r="D87" i="74"/>
  <c r="A87" i="74"/>
  <c r="Y86" i="74"/>
  <c r="T86" i="74"/>
  <c r="C86" i="74" s="1"/>
  <c r="M86" i="74"/>
  <c r="I86" i="74"/>
  <c r="H86" i="74"/>
  <c r="G86" i="74"/>
  <c r="F86" i="74"/>
  <c r="E86" i="74"/>
  <c r="D86" i="74"/>
  <c r="A86" i="74"/>
  <c r="Y85" i="74"/>
  <c r="T85" i="74"/>
  <c r="C85" i="74" s="1"/>
  <c r="M85" i="74"/>
  <c r="I85" i="74"/>
  <c r="H85" i="74"/>
  <c r="G85" i="74"/>
  <c r="F85" i="74"/>
  <c r="E85" i="74"/>
  <c r="D85" i="74"/>
  <c r="A85" i="74"/>
  <c r="Y84" i="74"/>
  <c r="T84" i="74"/>
  <c r="C84" i="74" s="1"/>
  <c r="M84" i="74"/>
  <c r="I84" i="74"/>
  <c r="H84" i="74"/>
  <c r="G84" i="74"/>
  <c r="F84" i="74"/>
  <c r="E84" i="74"/>
  <c r="D84" i="74"/>
  <c r="A84" i="74"/>
  <c r="Y83" i="74"/>
  <c r="T83" i="74"/>
  <c r="C83" i="74" s="1"/>
  <c r="M83" i="74"/>
  <c r="I83" i="74"/>
  <c r="H83" i="74"/>
  <c r="G83" i="74"/>
  <c r="F83" i="74"/>
  <c r="E83" i="74"/>
  <c r="D83" i="74"/>
  <c r="A83" i="74"/>
  <c r="Y82" i="74"/>
  <c r="T82" i="74"/>
  <c r="C82" i="74" s="1"/>
  <c r="M82" i="74"/>
  <c r="I82" i="74"/>
  <c r="H82" i="74"/>
  <c r="G82" i="74"/>
  <c r="F82" i="74"/>
  <c r="E82" i="74"/>
  <c r="D82" i="74"/>
  <c r="A82" i="74"/>
  <c r="Y81" i="74"/>
  <c r="T81" i="74"/>
  <c r="C81" i="74" s="1"/>
  <c r="M81" i="74"/>
  <c r="I81" i="74"/>
  <c r="H81" i="74"/>
  <c r="G81" i="74"/>
  <c r="F81" i="74"/>
  <c r="E81" i="74"/>
  <c r="D81" i="74"/>
  <c r="A81" i="74"/>
  <c r="Y80" i="74"/>
  <c r="T80" i="74"/>
  <c r="C80" i="74" s="1"/>
  <c r="M80" i="74"/>
  <c r="I80" i="74"/>
  <c r="H80" i="74"/>
  <c r="G80" i="74"/>
  <c r="F80" i="74"/>
  <c r="E80" i="74"/>
  <c r="D80" i="74"/>
  <c r="A80" i="74"/>
  <c r="Y79" i="74"/>
  <c r="T79" i="74"/>
  <c r="C79" i="74" s="1"/>
  <c r="M79" i="74"/>
  <c r="I79" i="74"/>
  <c r="H79" i="74"/>
  <c r="G79" i="74"/>
  <c r="F79" i="74"/>
  <c r="E79" i="74"/>
  <c r="D79" i="74"/>
  <c r="A79" i="74"/>
  <c r="Y78" i="74"/>
  <c r="T78" i="74"/>
  <c r="M78" i="74"/>
  <c r="J78" i="74"/>
  <c r="I78" i="74"/>
  <c r="H78" i="74"/>
  <c r="G78" i="74"/>
  <c r="F78" i="74"/>
  <c r="E78" i="74"/>
  <c r="D78" i="74"/>
  <c r="A78" i="74"/>
  <c r="L71" i="74"/>
  <c r="J71" i="74"/>
  <c r="Y70" i="74"/>
  <c r="T70" i="74"/>
  <c r="A70" i="74"/>
  <c r="Y69" i="74"/>
  <c r="T69" i="74"/>
  <c r="M69" i="74"/>
  <c r="I69" i="74"/>
  <c r="H69" i="74"/>
  <c r="G69" i="74"/>
  <c r="F69" i="74"/>
  <c r="E69" i="74"/>
  <c r="D69" i="74"/>
  <c r="C69" i="74"/>
  <c r="A69" i="74"/>
  <c r="Y68" i="74"/>
  <c r="T68" i="74"/>
  <c r="M68" i="74"/>
  <c r="I68" i="74"/>
  <c r="H68" i="74"/>
  <c r="G68" i="74"/>
  <c r="F68" i="74"/>
  <c r="E68" i="74"/>
  <c r="D68" i="74"/>
  <c r="C68" i="74"/>
  <c r="A68" i="74"/>
  <c r="Y67" i="74"/>
  <c r="T67" i="74"/>
  <c r="M67" i="74"/>
  <c r="I67" i="74"/>
  <c r="H67" i="74"/>
  <c r="G67" i="74"/>
  <c r="F67" i="74"/>
  <c r="E67" i="74"/>
  <c r="D67" i="74"/>
  <c r="C67" i="74"/>
  <c r="A67" i="74"/>
  <c r="Y66" i="74"/>
  <c r="T66" i="74"/>
  <c r="M66" i="74"/>
  <c r="I66" i="74"/>
  <c r="H66" i="74"/>
  <c r="G66" i="74"/>
  <c r="F66" i="74"/>
  <c r="E66" i="74"/>
  <c r="D66" i="74"/>
  <c r="C66" i="74"/>
  <c r="A66" i="74"/>
  <c r="Y65" i="74"/>
  <c r="T65" i="74"/>
  <c r="M65" i="74"/>
  <c r="I65" i="74"/>
  <c r="H65" i="74"/>
  <c r="G65" i="74"/>
  <c r="F65" i="74"/>
  <c r="E65" i="74"/>
  <c r="D65" i="74"/>
  <c r="C65" i="74"/>
  <c r="A65" i="74"/>
  <c r="Y64" i="74"/>
  <c r="T64" i="74"/>
  <c r="M64" i="74"/>
  <c r="I64" i="74"/>
  <c r="H64" i="74"/>
  <c r="G64" i="74"/>
  <c r="F64" i="74"/>
  <c r="E64" i="74"/>
  <c r="D64" i="74"/>
  <c r="C64" i="74"/>
  <c r="A64" i="74"/>
  <c r="Y63" i="74"/>
  <c r="T63" i="74"/>
  <c r="M63" i="74"/>
  <c r="I63" i="74"/>
  <c r="H63" i="74"/>
  <c r="G63" i="74"/>
  <c r="F63" i="74"/>
  <c r="E63" i="74"/>
  <c r="D63" i="74"/>
  <c r="C63" i="74"/>
  <c r="A63" i="74"/>
  <c r="Y62" i="74"/>
  <c r="T62" i="74"/>
  <c r="M62" i="74"/>
  <c r="I62" i="74"/>
  <c r="H62" i="74"/>
  <c r="G62" i="74"/>
  <c r="F62" i="74"/>
  <c r="E62" i="74"/>
  <c r="D62" i="74"/>
  <c r="C62" i="74"/>
  <c r="K62" i="74" s="1"/>
  <c r="A62" i="74"/>
  <c r="Y61" i="74"/>
  <c r="T61" i="74"/>
  <c r="M61" i="74"/>
  <c r="I61" i="74"/>
  <c r="H61" i="74"/>
  <c r="G61" i="74"/>
  <c r="F61" i="74"/>
  <c r="E61" i="74"/>
  <c r="D61" i="74"/>
  <c r="C61" i="74"/>
  <c r="A61" i="74"/>
  <c r="Y60" i="74"/>
  <c r="T60" i="74"/>
  <c r="M60" i="74"/>
  <c r="I60" i="74"/>
  <c r="H60" i="74"/>
  <c r="G60" i="74"/>
  <c r="F60" i="74"/>
  <c r="E60" i="74"/>
  <c r="D60" i="74"/>
  <c r="C60" i="74"/>
  <c r="A60" i="74"/>
  <c r="Y59" i="74"/>
  <c r="T59" i="74"/>
  <c r="M59" i="74"/>
  <c r="I59" i="74"/>
  <c r="H59" i="74"/>
  <c r="G59" i="74"/>
  <c r="F59" i="74"/>
  <c r="E59" i="74"/>
  <c r="D59" i="74"/>
  <c r="C59" i="74"/>
  <c r="A59" i="74"/>
  <c r="Y58" i="74"/>
  <c r="T58" i="74"/>
  <c r="M58" i="74"/>
  <c r="I58" i="74"/>
  <c r="H58" i="74"/>
  <c r="G58" i="74"/>
  <c r="F58" i="74"/>
  <c r="E58" i="74"/>
  <c r="D58" i="74"/>
  <c r="C58" i="74"/>
  <c r="A58" i="74"/>
  <c r="Y57" i="74"/>
  <c r="T57" i="74"/>
  <c r="M57" i="74"/>
  <c r="I57" i="74"/>
  <c r="H57" i="74"/>
  <c r="G57" i="74"/>
  <c r="F57" i="74"/>
  <c r="E57" i="74"/>
  <c r="D57" i="74"/>
  <c r="C57" i="74"/>
  <c r="A57" i="74"/>
  <c r="Y56" i="74"/>
  <c r="T56" i="74"/>
  <c r="M56" i="74"/>
  <c r="I56" i="74"/>
  <c r="H56" i="74"/>
  <c r="G56" i="74"/>
  <c r="F56" i="74"/>
  <c r="E56" i="74"/>
  <c r="D56" i="74"/>
  <c r="C56" i="74"/>
  <c r="A56" i="74"/>
  <c r="Y55" i="74"/>
  <c r="T55" i="74"/>
  <c r="M55" i="74"/>
  <c r="I55" i="74"/>
  <c r="H55" i="74"/>
  <c r="G55" i="74"/>
  <c r="F55" i="74"/>
  <c r="E55" i="74"/>
  <c r="D55" i="74"/>
  <c r="C55" i="74"/>
  <c r="A55" i="74"/>
  <c r="Y54" i="74"/>
  <c r="T54" i="74"/>
  <c r="M54" i="74"/>
  <c r="I54" i="74"/>
  <c r="H54" i="74"/>
  <c r="G54" i="74"/>
  <c r="F54" i="74"/>
  <c r="E54" i="74"/>
  <c r="D54" i="74"/>
  <c r="C54" i="74"/>
  <c r="A54" i="74"/>
  <c r="Y53" i="74"/>
  <c r="T53" i="74"/>
  <c r="M53" i="74"/>
  <c r="I53" i="74"/>
  <c r="H53" i="74"/>
  <c r="G53" i="74"/>
  <c r="F53" i="74"/>
  <c r="E53" i="74"/>
  <c r="D53" i="74"/>
  <c r="C53" i="74"/>
  <c r="A53" i="74"/>
  <c r="L38" i="74"/>
  <c r="H36" i="74" s="1"/>
  <c r="J38" i="74"/>
  <c r="A37" i="74"/>
  <c r="Y36" i="74"/>
  <c r="T36" i="74"/>
  <c r="M36" i="74"/>
  <c r="G36" i="74"/>
  <c r="C36" i="74"/>
  <c r="A36" i="74"/>
  <c r="Y35" i="74"/>
  <c r="T35" i="74"/>
  <c r="M35" i="74"/>
  <c r="G35" i="74"/>
  <c r="F35" i="74"/>
  <c r="C35" i="74"/>
  <c r="A35" i="74"/>
  <c r="Y34" i="74"/>
  <c r="T34" i="74"/>
  <c r="C34" i="74" s="1"/>
  <c r="M34" i="74"/>
  <c r="I34" i="74"/>
  <c r="G34" i="74"/>
  <c r="F34" i="74"/>
  <c r="E34" i="74"/>
  <c r="A34" i="74"/>
  <c r="Y33" i="74"/>
  <c r="T33" i="74"/>
  <c r="M33" i="74"/>
  <c r="I33" i="74"/>
  <c r="G33" i="74"/>
  <c r="F33" i="74"/>
  <c r="E33" i="74"/>
  <c r="C33" i="74"/>
  <c r="A33" i="74"/>
  <c r="Y32" i="74"/>
  <c r="T32" i="74"/>
  <c r="C32" i="74" s="1"/>
  <c r="M32" i="74"/>
  <c r="I32" i="74"/>
  <c r="G32" i="74"/>
  <c r="F32" i="74"/>
  <c r="E32" i="74"/>
  <c r="A32" i="74"/>
  <c r="Y31" i="74"/>
  <c r="T31" i="74"/>
  <c r="C31" i="74" s="1"/>
  <c r="M31" i="74"/>
  <c r="I31" i="74"/>
  <c r="G31" i="74"/>
  <c r="F31" i="74"/>
  <c r="E31" i="74"/>
  <c r="A31" i="74"/>
  <c r="Y30" i="74"/>
  <c r="T30" i="74"/>
  <c r="M30" i="74"/>
  <c r="I30" i="74"/>
  <c r="G30" i="74"/>
  <c r="F30" i="74"/>
  <c r="E30" i="74"/>
  <c r="C30" i="74"/>
  <c r="A30" i="74"/>
  <c r="Y29" i="74"/>
  <c r="T29" i="74"/>
  <c r="M29" i="74"/>
  <c r="I29" i="74"/>
  <c r="G29" i="74"/>
  <c r="F29" i="74"/>
  <c r="E29" i="74"/>
  <c r="C29" i="74"/>
  <c r="A29" i="74"/>
  <c r="Y28" i="74"/>
  <c r="T28" i="74"/>
  <c r="T38" i="74" s="1"/>
  <c r="M28" i="74"/>
  <c r="I28" i="74"/>
  <c r="H28" i="74"/>
  <c r="G28" i="74"/>
  <c r="F28" i="74"/>
  <c r="E28" i="74"/>
  <c r="D28" i="74"/>
  <c r="C28" i="74"/>
  <c r="A28" i="74"/>
  <c r="R20" i="74"/>
  <c r="L20" i="74"/>
  <c r="J20" i="74"/>
  <c r="C20" i="74"/>
  <c r="Y7" i="74"/>
  <c r="Y20" i="74" s="1"/>
  <c r="E20" i="74" s="1"/>
  <c r="T7" i="74"/>
  <c r="T20" i="74" s="1"/>
  <c r="M7" i="74"/>
  <c r="F7" i="74"/>
  <c r="C7" i="74"/>
  <c r="A7" i="74"/>
  <c r="F12" i="75"/>
  <c r="E12" i="75"/>
  <c r="D12" i="75"/>
  <c r="C12" i="75"/>
  <c r="B13" i="75"/>
  <c r="I12" i="75"/>
  <c r="H12" i="75"/>
  <c r="G12" i="75"/>
  <c r="K66" i="74" l="1"/>
  <c r="K95" i="74"/>
  <c r="Y71" i="74"/>
  <c r="E71" i="74" s="1"/>
  <c r="K96" i="74"/>
  <c r="K98" i="74"/>
  <c r="K94" i="74"/>
  <c r="K56" i="74"/>
  <c r="K60" i="74"/>
  <c r="F8" i="74"/>
  <c r="F9" i="74"/>
  <c r="F10" i="74"/>
  <c r="F11" i="74"/>
  <c r="F13" i="74"/>
  <c r="F15" i="74"/>
  <c r="F16" i="74"/>
  <c r="F17" i="74"/>
  <c r="G8" i="74"/>
  <c r="G9" i="74"/>
  <c r="G10" i="74"/>
  <c r="G11" i="74"/>
  <c r="G12" i="74"/>
  <c r="G13" i="74"/>
  <c r="G14" i="74"/>
  <c r="G15" i="74"/>
  <c r="G16" i="74"/>
  <c r="G17" i="74"/>
  <c r="G18" i="74"/>
  <c r="D8" i="74"/>
  <c r="H8" i="74"/>
  <c r="D9" i="74"/>
  <c r="H9" i="74"/>
  <c r="D10" i="74"/>
  <c r="H10" i="74"/>
  <c r="D11" i="74"/>
  <c r="H11" i="74"/>
  <c r="D12" i="74"/>
  <c r="H12" i="74"/>
  <c r="D13" i="74"/>
  <c r="H13" i="74"/>
  <c r="D14" i="74"/>
  <c r="H14" i="74"/>
  <c r="D15" i="74"/>
  <c r="H15" i="74"/>
  <c r="D16" i="74"/>
  <c r="H16" i="74"/>
  <c r="D17" i="74"/>
  <c r="H17" i="74"/>
  <c r="D18" i="74"/>
  <c r="H18" i="74"/>
  <c r="E8" i="74"/>
  <c r="I8" i="74"/>
  <c r="E9" i="74"/>
  <c r="I9" i="74"/>
  <c r="E10" i="74"/>
  <c r="I10" i="74"/>
  <c r="E11" i="74"/>
  <c r="I11" i="74"/>
  <c r="E12" i="74"/>
  <c r="I12" i="74"/>
  <c r="E13" i="74"/>
  <c r="I13" i="74"/>
  <c r="E14" i="74"/>
  <c r="I14" i="74"/>
  <c r="E15" i="74"/>
  <c r="I15" i="74"/>
  <c r="E16" i="74"/>
  <c r="I16" i="74"/>
  <c r="E17" i="74"/>
  <c r="I17" i="74"/>
  <c r="E18" i="74"/>
  <c r="I18" i="74"/>
  <c r="F12" i="74"/>
  <c r="F14" i="74"/>
  <c r="F18" i="74"/>
  <c r="C38" i="74"/>
  <c r="K55" i="74"/>
  <c r="K59" i="74"/>
  <c r="K63" i="74"/>
  <c r="K67" i="74"/>
  <c r="K79" i="74"/>
  <c r="K81" i="74"/>
  <c r="K83" i="74"/>
  <c r="K85" i="74"/>
  <c r="K87" i="74"/>
  <c r="K89" i="74"/>
  <c r="K91" i="74"/>
  <c r="K93" i="74"/>
  <c r="K54" i="74"/>
  <c r="K58" i="74"/>
  <c r="Y38" i="74"/>
  <c r="E38" i="74" s="1"/>
  <c r="K53" i="74"/>
  <c r="T71" i="74"/>
  <c r="K57" i="74"/>
  <c r="K61" i="74"/>
  <c r="K65" i="74"/>
  <c r="K69" i="74"/>
  <c r="T100" i="74"/>
  <c r="K80" i="74"/>
  <c r="K82" i="74"/>
  <c r="K84" i="74"/>
  <c r="K86" i="74"/>
  <c r="K88" i="74"/>
  <c r="K90" i="74"/>
  <c r="K92" i="74"/>
  <c r="K64" i="74"/>
  <c r="K68" i="74"/>
  <c r="Y100" i="74"/>
  <c r="E100" i="74" s="1"/>
  <c r="K97" i="74"/>
  <c r="B12" i="75"/>
  <c r="B14" i="75" s="1"/>
  <c r="C13" i="75"/>
  <c r="C14" i="75" s="1"/>
  <c r="G13" i="75"/>
  <c r="G14" i="75" s="1"/>
  <c r="D13" i="75"/>
  <c r="D14" i="75" s="1"/>
  <c r="E13" i="75"/>
  <c r="E14" i="75" s="1"/>
  <c r="I13" i="75"/>
  <c r="I14" i="75" s="1"/>
  <c r="E7" i="74"/>
  <c r="I7" i="74"/>
  <c r="E35" i="74"/>
  <c r="I35" i="74"/>
  <c r="E36" i="74"/>
  <c r="K36" i="74" s="1"/>
  <c r="I36" i="74"/>
  <c r="C71" i="74"/>
  <c r="C78" i="74"/>
  <c r="K28" i="74"/>
  <c r="F36" i="74"/>
  <c r="G7" i="74"/>
  <c r="D7" i="74"/>
  <c r="H7" i="74"/>
  <c r="D29" i="74"/>
  <c r="H29" i="74"/>
  <c r="D30" i="74"/>
  <c r="K30" i="74" s="1"/>
  <c r="H30" i="74"/>
  <c r="D31" i="74"/>
  <c r="H31" i="74"/>
  <c r="K31" i="74" s="1"/>
  <c r="D32" i="74"/>
  <c r="K32" i="74" s="1"/>
  <c r="H32" i="74"/>
  <c r="D33" i="74"/>
  <c r="H33" i="74"/>
  <c r="K33" i="74" s="1"/>
  <c r="D34" i="74"/>
  <c r="H34" i="74"/>
  <c r="K34" i="74" s="1"/>
  <c r="D35" i="74"/>
  <c r="H35" i="74"/>
  <c r="D36" i="74"/>
  <c r="I4" i="70"/>
  <c r="K18" i="74" l="1"/>
  <c r="K16" i="74"/>
  <c r="K12" i="74"/>
  <c r="K8" i="74"/>
  <c r="K17" i="74"/>
  <c r="K15" i="74"/>
  <c r="K13" i="74"/>
  <c r="K11" i="74"/>
  <c r="K9" i="74"/>
  <c r="K10" i="74"/>
  <c r="K14" i="74"/>
  <c r="K71" i="74"/>
  <c r="K29" i="74"/>
  <c r="K35" i="74"/>
  <c r="C100" i="74"/>
  <c r="K78" i="74"/>
  <c r="K7" i="74"/>
  <c r="K38" i="74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20" i="70"/>
  <c r="I21" i="70"/>
  <c r="I22" i="70"/>
  <c r="I23" i="70"/>
  <c r="I24" i="70"/>
  <c r="I25" i="70"/>
  <c r="I26" i="70"/>
  <c r="I27" i="70"/>
  <c r="I28" i="70"/>
  <c r="I29" i="70"/>
  <c r="I30" i="70"/>
  <c r="I31" i="70"/>
  <c r="I32" i="70"/>
  <c r="I33" i="70"/>
  <c r="I34" i="70"/>
  <c r="I35" i="70"/>
  <c r="I36" i="70"/>
  <c r="I37" i="70"/>
  <c r="I38" i="70"/>
  <c r="I39" i="70"/>
  <c r="I40" i="70"/>
  <c r="I41" i="70"/>
  <c r="I42" i="70"/>
  <c r="I43" i="70"/>
  <c r="I44" i="70"/>
  <c r="I45" i="70"/>
  <c r="I46" i="70"/>
  <c r="I47" i="70"/>
  <c r="I48" i="70"/>
  <c r="I49" i="70"/>
  <c r="K20" i="74" l="1"/>
  <c r="A48" i="70"/>
  <c r="A49" i="70"/>
  <c r="A50" i="70"/>
  <c r="A37" i="70"/>
  <c r="A38" i="70"/>
  <c r="A39" i="70"/>
  <c r="A40" i="70"/>
  <c r="A41" i="70"/>
  <c r="A42" i="70"/>
  <c r="A43" i="70"/>
  <c r="A44" i="70"/>
  <c r="A45" i="70"/>
  <c r="A46" i="70"/>
  <c r="A47" i="70"/>
  <c r="C51" i="70" l="1"/>
  <c r="A26" i="70"/>
  <c r="A27" i="70"/>
  <c r="A28" i="70"/>
  <c r="A29" i="70"/>
  <c r="A30" i="70"/>
  <c r="A31" i="70"/>
  <c r="A32" i="70"/>
  <c r="A33" i="70"/>
  <c r="A34" i="70"/>
  <c r="A35" i="70"/>
  <c r="A36" i="70"/>
  <c r="N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R69" i="34"/>
  <c r="S69" i="34"/>
  <c r="T69" i="34"/>
  <c r="U69" i="34"/>
  <c r="W69" i="34"/>
  <c r="Y69" i="34"/>
  <c r="Z69" i="34"/>
  <c r="N70" i="34"/>
  <c r="R70" i="34"/>
  <c r="S70" i="34"/>
  <c r="T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R73" i="34"/>
  <c r="S73" i="34"/>
  <c r="T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R79" i="34"/>
  <c r="S79" i="34"/>
  <c r="T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R83" i="34"/>
  <c r="S83" i="34"/>
  <c r="T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R92" i="34"/>
  <c r="S92" i="34"/>
  <c r="T92" i="34"/>
  <c r="U92" i="34"/>
  <c r="W92" i="34"/>
  <c r="Y92" i="34"/>
  <c r="Z92" i="34"/>
  <c r="N93" i="34"/>
  <c r="R93" i="34"/>
  <c r="S93" i="34"/>
  <c r="T93" i="34"/>
  <c r="U93" i="34"/>
  <c r="W93" i="34"/>
  <c r="Y93" i="34"/>
  <c r="Z93" i="34"/>
  <c r="N94" i="34"/>
  <c r="R94" i="34"/>
  <c r="S94" i="34"/>
  <c r="T94" i="34"/>
  <c r="U94" i="34"/>
  <c r="W94" i="34"/>
  <c r="Y94" i="34"/>
  <c r="Z94" i="34"/>
  <c r="N95" i="34"/>
  <c r="R95" i="34"/>
  <c r="S95" i="34"/>
  <c r="T95" i="34"/>
  <c r="U95" i="34"/>
  <c r="W95" i="34"/>
  <c r="Y95" i="34"/>
  <c r="Z95" i="34"/>
  <c r="N96" i="34"/>
  <c r="R96" i="34"/>
  <c r="S96" i="34"/>
  <c r="T96" i="34"/>
  <c r="U96" i="34"/>
  <c r="W96" i="34"/>
  <c r="Y96" i="34"/>
  <c r="Z96" i="34"/>
  <c r="N97" i="34"/>
  <c r="R97" i="34"/>
  <c r="S97" i="34"/>
  <c r="T97" i="34"/>
  <c r="U97" i="34"/>
  <c r="W97" i="34"/>
  <c r="Y97" i="34"/>
  <c r="Z97" i="34"/>
  <c r="N98" i="34"/>
  <c r="R98" i="34"/>
  <c r="S98" i="34"/>
  <c r="T98" i="34"/>
  <c r="U98" i="34"/>
  <c r="W98" i="34"/>
  <c r="Y98" i="34"/>
  <c r="Z98" i="34"/>
  <c r="N99" i="34"/>
  <c r="R99" i="34"/>
  <c r="S99" i="34"/>
  <c r="T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R103" i="34"/>
  <c r="S103" i="34"/>
  <c r="T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R106" i="34"/>
  <c r="S106" i="34"/>
  <c r="T106" i="34"/>
  <c r="U106" i="34"/>
  <c r="W106" i="34"/>
  <c r="Y106" i="34"/>
  <c r="Z106" i="34"/>
  <c r="N107" i="34"/>
  <c r="R107" i="34"/>
  <c r="S107" i="34"/>
  <c r="T107" i="34"/>
  <c r="U107" i="34"/>
  <c r="W107" i="34"/>
  <c r="Y107" i="34"/>
  <c r="Z107" i="34"/>
  <c r="N108" i="34"/>
  <c r="R108" i="34"/>
  <c r="S108" i="34"/>
  <c r="T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R110" i="34"/>
  <c r="S110" i="34"/>
  <c r="T110" i="34"/>
  <c r="U110" i="34"/>
  <c r="W110" i="34"/>
  <c r="Y110" i="34"/>
  <c r="Z110" i="34"/>
  <c r="N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R113" i="34"/>
  <c r="S113" i="34"/>
  <c r="T113" i="34"/>
  <c r="U113" i="34"/>
  <c r="W113" i="34"/>
  <c r="Y113" i="34"/>
  <c r="Z113" i="34"/>
  <c r="N114" i="34"/>
  <c r="R114" i="34"/>
  <c r="S114" i="34"/>
  <c r="T114" i="34"/>
  <c r="U114" i="34"/>
  <c r="W114" i="34"/>
  <c r="Y114" i="34"/>
  <c r="Z114" i="34"/>
  <c r="N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U142" i="34"/>
  <c r="W142" i="34"/>
  <c r="Y142" i="34"/>
  <c r="Z142" i="34"/>
  <c r="N143" i="34"/>
  <c r="R143" i="34"/>
  <c r="S143" i="34"/>
  <c r="T143" i="34"/>
  <c r="U143" i="34"/>
  <c r="W143" i="34"/>
  <c r="Y143" i="34"/>
  <c r="Z143" i="34"/>
  <c r="N144" i="34"/>
  <c r="R144" i="34"/>
  <c r="S144" i="34"/>
  <c r="T144" i="34"/>
  <c r="U144" i="34"/>
  <c r="W144" i="34"/>
  <c r="Y144" i="34"/>
  <c r="Z144" i="34"/>
  <c r="N145" i="34"/>
  <c r="R145" i="34"/>
  <c r="S145" i="34"/>
  <c r="T145" i="34"/>
  <c r="U145" i="34"/>
  <c r="W145" i="34"/>
  <c r="Y145" i="34"/>
  <c r="Z145" i="34"/>
  <c r="N146" i="34"/>
  <c r="R146" i="34"/>
  <c r="S146" i="34"/>
  <c r="T146" i="34"/>
  <c r="U146" i="34"/>
  <c r="W146" i="34"/>
  <c r="Y146" i="34"/>
  <c r="Z146" i="34"/>
  <c r="N147" i="34"/>
  <c r="R147" i="34"/>
  <c r="S147" i="34"/>
  <c r="T147" i="34"/>
  <c r="U147" i="34"/>
  <c r="W147" i="34"/>
  <c r="Y147" i="34"/>
  <c r="Z147" i="34"/>
  <c r="N148" i="34"/>
  <c r="R148" i="34"/>
  <c r="S148" i="34"/>
  <c r="T148" i="34"/>
  <c r="U148" i="34"/>
  <c r="W148" i="34"/>
  <c r="Y148" i="34"/>
  <c r="Z148" i="34"/>
  <c r="N149" i="34"/>
  <c r="R149" i="34"/>
  <c r="S149" i="34"/>
  <c r="T149" i="34"/>
  <c r="U149" i="34"/>
  <c r="W149" i="34"/>
  <c r="Y149" i="34"/>
  <c r="Z149" i="34"/>
  <c r="N150" i="34"/>
  <c r="R150" i="34"/>
  <c r="S150" i="34"/>
  <c r="T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R152" i="34"/>
  <c r="S152" i="34"/>
  <c r="T152" i="34"/>
  <c r="U152" i="34"/>
  <c r="W152" i="34"/>
  <c r="Y152" i="34"/>
  <c r="Z152" i="34"/>
  <c r="N153" i="34"/>
  <c r="R153" i="34"/>
  <c r="S153" i="34"/>
  <c r="T153" i="34"/>
  <c r="U153" i="34"/>
  <c r="W153" i="34"/>
  <c r="Y153" i="34"/>
  <c r="Z153" i="34"/>
  <c r="N154" i="34"/>
  <c r="R154" i="34"/>
  <c r="S154" i="34"/>
  <c r="T154" i="34"/>
  <c r="U154" i="34"/>
  <c r="W154" i="34"/>
  <c r="Y154" i="34"/>
  <c r="Z154" i="34"/>
  <c r="N155" i="34"/>
  <c r="R155" i="34"/>
  <c r="S155" i="34"/>
  <c r="T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R157" i="34"/>
  <c r="S157" i="34"/>
  <c r="T157" i="34"/>
  <c r="U157" i="34"/>
  <c r="W157" i="34"/>
  <c r="Y157" i="34"/>
  <c r="Z157" i="34"/>
  <c r="N158" i="34"/>
  <c r="R158" i="34"/>
  <c r="S158" i="34"/>
  <c r="T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R172" i="34"/>
  <c r="S172" i="34"/>
  <c r="T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U175" i="34"/>
  <c r="W175" i="34"/>
  <c r="Y175" i="34"/>
  <c r="Z175" i="34"/>
  <c r="N176" i="34"/>
  <c r="U176" i="34"/>
  <c r="W176" i="34"/>
  <c r="Y176" i="34"/>
  <c r="Z176" i="34"/>
  <c r="N177" i="34"/>
  <c r="U177" i="34"/>
  <c r="W177" i="34"/>
  <c r="Y177" i="34"/>
  <c r="Z177" i="34"/>
  <c r="N178" i="34"/>
  <c r="U178" i="34"/>
  <c r="W178" i="34"/>
  <c r="Y178" i="34"/>
  <c r="Z178" i="34"/>
  <c r="N179" i="34"/>
  <c r="U179" i="34"/>
  <c r="W179" i="34"/>
  <c r="Y179" i="34"/>
  <c r="Z179" i="34"/>
  <c r="N180" i="34"/>
  <c r="U180" i="34"/>
  <c r="W180" i="34"/>
  <c r="Y180" i="34"/>
  <c r="Z180" i="34"/>
  <c r="N181" i="34"/>
  <c r="U181" i="34"/>
  <c r="W181" i="34"/>
  <c r="Y181" i="34"/>
  <c r="Z181" i="34"/>
  <c r="N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R195" i="34"/>
  <c r="S195" i="34"/>
  <c r="T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R201" i="34"/>
  <c r="S201" i="34"/>
  <c r="T201" i="34"/>
  <c r="U201" i="34"/>
  <c r="W201" i="34"/>
  <c r="Y201" i="34"/>
  <c r="Z201" i="34"/>
  <c r="N202" i="34"/>
  <c r="R202" i="34"/>
  <c r="S202" i="34"/>
  <c r="T202" i="34"/>
  <c r="U202" i="34"/>
  <c r="W202" i="34"/>
  <c r="Y202" i="34"/>
  <c r="Z202" i="34"/>
  <c r="N203" i="34"/>
  <c r="R203" i="34"/>
  <c r="S203" i="34"/>
  <c r="T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R211" i="34"/>
  <c r="S211" i="34"/>
  <c r="T211" i="34"/>
  <c r="U211" i="34"/>
  <c r="W211" i="34"/>
  <c r="Y211" i="34"/>
  <c r="Z211" i="34"/>
  <c r="N212" i="34"/>
  <c r="R212" i="34"/>
  <c r="S212" i="34"/>
  <c r="T212" i="34"/>
  <c r="U212" i="34"/>
  <c r="W212" i="34"/>
  <c r="Y212" i="34"/>
  <c r="Z212" i="34"/>
  <c r="N213" i="34"/>
  <c r="R213" i="34"/>
  <c r="S213" i="34"/>
  <c r="T213" i="34"/>
  <c r="U213" i="34"/>
  <c r="W213" i="34"/>
  <c r="Y213" i="34"/>
  <c r="Z213" i="34"/>
  <c r="N214" i="34"/>
  <c r="R214" i="34"/>
  <c r="S214" i="34"/>
  <c r="T214" i="34"/>
  <c r="U214" i="34"/>
  <c r="W214" i="34"/>
  <c r="Y214" i="34"/>
  <c r="Z214" i="34"/>
  <c r="N215" i="34"/>
  <c r="R215" i="34"/>
  <c r="S215" i="34"/>
  <c r="T215" i="34"/>
  <c r="U215" i="34"/>
  <c r="W215" i="34"/>
  <c r="Y215" i="34"/>
  <c r="Z215" i="34"/>
  <c r="N216" i="34"/>
  <c r="R216" i="34"/>
  <c r="S216" i="34"/>
  <c r="T216" i="34"/>
  <c r="U216" i="34"/>
  <c r="W216" i="34"/>
  <c r="Y216" i="34"/>
  <c r="Z216" i="34"/>
  <c r="N217" i="34"/>
  <c r="R217" i="34"/>
  <c r="S217" i="34"/>
  <c r="T217" i="34"/>
  <c r="U217" i="34"/>
  <c r="W217" i="34"/>
  <c r="Y217" i="34"/>
  <c r="Z217" i="34"/>
  <c r="N218" i="34"/>
  <c r="R218" i="34"/>
  <c r="S218" i="34"/>
  <c r="T218" i="34"/>
  <c r="U218" i="34"/>
  <c r="W218" i="34"/>
  <c r="Y218" i="34"/>
  <c r="Z218" i="34"/>
  <c r="N219" i="34"/>
  <c r="R219" i="34"/>
  <c r="S219" i="34"/>
  <c r="T219" i="34"/>
  <c r="U219" i="34"/>
  <c r="W219" i="34"/>
  <c r="Y219" i="34"/>
  <c r="Z219" i="34"/>
  <c r="N220" i="34"/>
  <c r="R220" i="34"/>
  <c r="S220" i="34"/>
  <c r="T220" i="34"/>
  <c r="U220" i="34"/>
  <c r="W220" i="34"/>
  <c r="Y220" i="34"/>
  <c r="Z220" i="34"/>
  <c r="N221" i="34"/>
  <c r="R221" i="34"/>
  <c r="S221" i="34"/>
  <c r="T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R228" i="34"/>
  <c r="S228" i="34"/>
  <c r="T228" i="34"/>
  <c r="U228" i="34"/>
  <c r="W228" i="34"/>
  <c r="Y228" i="34"/>
  <c r="Z228" i="34"/>
  <c r="N229" i="34"/>
  <c r="R229" i="34"/>
  <c r="S229" i="34"/>
  <c r="T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U244" i="34"/>
  <c r="W244" i="34"/>
  <c r="Y244" i="34"/>
  <c r="Z244" i="34"/>
  <c r="N245" i="34"/>
  <c r="U245" i="34"/>
  <c r="W245" i="34"/>
  <c r="Y245" i="34"/>
  <c r="Z245" i="34"/>
  <c r="N246" i="34"/>
  <c r="U246" i="34"/>
  <c r="W246" i="34"/>
  <c r="Y246" i="34"/>
  <c r="Z246" i="34"/>
  <c r="N247" i="34"/>
  <c r="U247" i="34"/>
  <c r="W247" i="34"/>
  <c r="Y247" i="34"/>
  <c r="Z247" i="34"/>
  <c r="N248" i="34"/>
  <c r="U248" i="34"/>
  <c r="W248" i="34"/>
  <c r="Y248" i="34"/>
  <c r="Z248" i="34"/>
  <c r="N249" i="34"/>
  <c r="U249" i="34"/>
  <c r="W249" i="34"/>
  <c r="Y249" i="34"/>
  <c r="Z249" i="34"/>
  <c r="N250" i="34"/>
  <c r="U250" i="34"/>
  <c r="W250" i="34"/>
  <c r="Y250" i="34"/>
  <c r="Z250" i="34"/>
  <c r="N251" i="34"/>
  <c r="U251" i="34"/>
  <c r="W251" i="34"/>
  <c r="Y251" i="34"/>
  <c r="Z251" i="34"/>
  <c r="N252" i="34"/>
  <c r="U252" i="34"/>
  <c r="W252" i="34"/>
  <c r="Y252" i="34"/>
  <c r="Z252" i="34"/>
  <c r="N253" i="34"/>
  <c r="U253" i="34"/>
  <c r="W253" i="34"/>
  <c r="Y253" i="34"/>
  <c r="Z253" i="34"/>
  <c r="N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U290" i="34"/>
  <c r="W290" i="34"/>
  <c r="Y290" i="34"/>
  <c r="Z290" i="34"/>
  <c r="N291" i="34"/>
  <c r="R291" i="34"/>
  <c r="S291" i="34"/>
  <c r="T291" i="34"/>
  <c r="U291" i="34"/>
  <c r="W291" i="34"/>
  <c r="Y291" i="34"/>
  <c r="Z291" i="34"/>
  <c r="N292" i="34"/>
  <c r="R292" i="34"/>
  <c r="S292" i="34"/>
  <c r="T292" i="34"/>
  <c r="U292" i="34"/>
  <c r="W292" i="34"/>
  <c r="Y292" i="34"/>
  <c r="Z292" i="34"/>
  <c r="N293" i="34"/>
  <c r="R293" i="34"/>
  <c r="S293" i="34"/>
  <c r="T293" i="34"/>
  <c r="U293" i="34"/>
  <c r="W293" i="34"/>
  <c r="Y293" i="34"/>
  <c r="Z293" i="34"/>
  <c r="N294" i="34"/>
  <c r="R294" i="34"/>
  <c r="S294" i="34"/>
  <c r="T294" i="34"/>
  <c r="U294" i="34"/>
  <c r="W294" i="34"/>
  <c r="Y294" i="34"/>
  <c r="Z294" i="34"/>
  <c r="N295" i="34"/>
  <c r="R295" i="34"/>
  <c r="S295" i="34"/>
  <c r="T295" i="34"/>
  <c r="U295" i="34"/>
  <c r="W295" i="34"/>
  <c r="Y295" i="34"/>
  <c r="Z295" i="34"/>
  <c r="N296" i="34"/>
  <c r="R296" i="34"/>
  <c r="S296" i="34"/>
  <c r="T296" i="34"/>
  <c r="U296" i="34"/>
  <c r="W296" i="34"/>
  <c r="Y296" i="34"/>
  <c r="Z296" i="34"/>
  <c r="N297" i="34"/>
  <c r="R297" i="34"/>
  <c r="S297" i="34"/>
  <c r="T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R300" i="34"/>
  <c r="S300" i="34"/>
  <c r="T300" i="34"/>
  <c r="U300" i="34"/>
  <c r="W300" i="34"/>
  <c r="Y300" i="34"/>
  <c r="Z300" i="34"/>
  <c r="N301" i="34"/>
  <c r="R301" i="34"/>
  <c r="S301" i="34"/>
  <c r="T301" i="34"/>
  <c r="U301" i="34"/>
  <c r="W301" i="34"/>
  <c r="Y301" i="34"/>
  <c r="Z301" i="34"/>
  <c r="N302" i="34"/>
  <c r="R302" i="34"/>
  <c r="S302" i="34"/>
  <c r="T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R308" i="34"/>
  <c r="S308" i="34"/>
  <c r="T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R311" i="34"/>
  <c r="S311" i="34"/>
  <c r="T311" i="34"/>
  <c r="U311" i="34"/>
  <c r="W311" i="34"/>
  <c r="Y311" i="34"/>
  <c r="Z311" i="34"/>
  <c r="N312" i="34"/>
  <c r="R312" i="34"/>
  <c r="S312" i="34"/>
  <c r="T312" i="34"/>
  <c r="U312" i="34"/>
  <c r="W312" i="34"/>
  <c r="Y312" i="34"/>
  <c r="Z312" i="34"/>
  <c r="N313" i="34"/>
  <c r="R313" i="34"/>
  <c r="S313" i="34"/>
  <c r="T313" i="34"/>
  <c r="U313" i="34"/>
  <c r="W313" i="34"/>
  <c r="Y313" i="34"/>
  <c r="Z313" i="34"/>
  <c r="N314" i="34"/>
  <c r="R314" i="34"/>
  <c r="S314" i="34"/>
  <c r="T314" i="34"/>
  <c r="U314" i="34"/>
  <c r="W314" i="34"/>
  <c r="Y314" i="34"/>
  <c r="Z314" i="34"/>
  <c r="N315" i="34"/>
  <c r="R315" i="34"/>
  <c r="S315" i="34"/>
  <c r="T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R318" i="34"/>
  <c r="S318" i="34"/>
  <c r="T318" i="34"/>
  <c r="U318" i="34"/>
  <c r="W318" i="34"/>
  <c r="Y318" i="34"/>
  <c r="Z318" i="34"/>
  <c r="N319" i="34"/>
  <c r="R319" i="34"/>
  <c r="S319" i="34"/>
  <c r="T319" i="34"/>
  <c r="U319" i="34"/>
  <c r="W319" i="34"/>
  <c r="Y319" i="34"/>
  <c r="Z319" i="34"/>
  <c r="N320" i="34"/>
  <c r="R320" i="34"/>
  <c r="S320" i="34"/>
  <c r="T320" i="34"/>
  <c r="U320" i="34"/>
  <c r="W320" i="34"/>
  <c r="Y320" i="34"/>
  <c r="Z320" i="34"/>
  <c r="N321" i="34"/>
  <c r="R321" i="34"/>
  <c r="S321" i="34"/>
  <c r="T321" i="34"/>
  <c r="U321" i="34"/>
  <c r="W321" i="34"/>
  <c r="Y321" i="34"/>
  <c r="Z321" i="34"/>
  <c r="N322" i="34"/>
  <c r="R322" i="34"/>
  <c r="S322" i="34"/>
  <c r="T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R325" i="34"/>
  <c r="S325" i="34"/>
  <c r="T325" i="34"/>
  <c r="U325" i="34"/>
  <c r="W325" i="34"/>
  <c r="Y325" i="34"/>
  <c r="Z325" i="34"/>
  <c r="N326" i="34"/>
  <c r="R326" i="34"/>
  <c r="S326" i="34"/>
  <c r="T326" i="34"/>
  <c r="U326" i="34"/>
  <c r="W326" i="34"/>
  <c r="Y326" i="34"/>
  <c r="Z326" i="34"/>
  <c r="N327" i="34"/>
  <c r="R327" i="34"/>
  <c r="S327" i="34"/>
  <c r="T327" i="34"/>
  <c r="U327" i="34"/>
  <c r="W327" i="34"/>
  <c r="Y327" i="34"/>
  <c r="Z327" i="34"/>
  <c r="N328" i="34"/>
  <c r="R328" i="34"/>
  <c r="S328" i="34"/>
  <c r="T328" i="34"/>
  <c r="U328" i="34"/>
  <c r="W328" i="34"/>
  <c r="Y328" i="34"/>
  <c r="Z328" i="34"/>
  <c r="N329" i="34"/>
  <c r="R329" i="34"/>
  <c r="S329" i="34"/>
  <c r="T329" i="34"/>
  <c r="U329" i="34"/>
  <c r="W329" i="34"/>
  <c r="Y329" i="34"/>
  <c r="Z329" i="34"/>
  <c r="N330" i="34"/>
  <c r="R330" i="34"/>
  <c r="S330" i="34"/>
  <c r="T330" i="34"/>
  <c r="U330" i="34"/>
  <c r="W330" i="34"/>
  <c r="Y330" i="34"/>
  <c r="Z330" i="34"/>
  <c r="N331" i="34"/>
  <c r="R331" i="34"/>
  <c r="S331" i="34"/>
  <c r="T331" i="34"/>
  <c r="U331" i="34"/>
  <c r="W331" i="34"/>
  <c r="Y331" i="34"/>
  <c r="Z331" i="34"/>
  <c r="N332" i="34"/>
  <c r="R332" i="34"/>
  <c r="S332" i="34"/>
  <c r="T332" i="34"/>
  <c r="U332" i="34"/>
  <c r="W332" i="34"/>
  <c r="Y332" i="34"/>
  <c r="Z332" i="34"/>
  <c r="N333" i="34"/>
  <c r="R333" i="34"/>
  <c r="S333" i="34"/>
  <c r="T333" i="34"/>
  <c r="U333" i="34"/>
  <c r="W333" i="34"/>
  <c r="Y333" i="34"/>
  <c r="Z333" i="34"/>
  <c r="N334" i="34"/>
  <c r="R334" i="34"/>
  <c r="S334" i="34"/>
  <c r="T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U343" i="34"/>
  <c r="W343" i="34"/>
  <c r="Y343" i="34"/>
  <c r="Z343" i="34"/>
  <c r="N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R347" i="34"/>
  <c r="S347" i="34"/>
  <c r="T347" i="34"/>
  <c r="U347" i="34"/>
  <c r="W347" i="34"/>
  <c r="Y347" i="34"/>
  <c r="Z347" i="34"/>
  <c r="N348" i="34"/>
  <c r="R348" i="34"/>
  <c r="S348" i="34"/>
  <c r="T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R354" i="34"/>
  <c r="S354" i="34"/>
  <c r="T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R359" i="34"/>
  <c r="S359" i="34"/>
  <c r="T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R362" i="34"/>
  <c r="S362" i="34"/>
  <c r="T362" i="34"/>
  <c r="U362" i="34"/>
  <c r="W362" i="34"/>
  <c r="Y362" i="34"/>
  <c r="Z362" i="34"/>
  <c r="N363" i="34"/>
  <c r="R363" i="34"/>
  <c r="S363" i="34"/>
  <c r="T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R369" i="34"/>
  <c r="S369" i="34"/>
  <c r="T369" i="34"/>
  <c r="U369" i="34"/>
  <c r="W369" i="34"/>
  <c r="Y369" i="34"/>
  <c r="Z369" i="34"/>
  <c r="N370" i="34"/>
  <c r="R370" i="34"/>
  <c r="S370" i="34"/>
  <c r="T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R379" i="34"/>
  <c r="S379" i="34"/>
  <c r="T379" i="34"/>
  <c r="U379" i="34"/>
  <c r="W379" i="34"/>
  <c r="Y379" i="34"/>
  <c r="Z379" i="34"/>
  <c r="N380" i="34"/>
  <c r="R380" i="34"/>
  <c r="S380" i="34"/>
  <c r="T380" i="34"/>
  <c r="U380" i="34"/>
  <c r="W380" i="34"/>
  <c r="Y380" i="34"/>
  <c r="Z380" i="34"/>
  <c r="N381" i="34"/>
  <c r="R381" i="34"/>
  <c r="S381" i="34"/>
  <c r="T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R384" i="34"/>
  <c r="S384" i="34"/>
  <c r="T384" i="34"/>
  <c r="U384" i="34"/>
  <c r="W384" i="34"/>
  <c r="Y384" i="34"/>
  <c r="Z384" i="34"/>
  <c r="N385" i="34"/>
  <c r="R385" i="34"/>
  <c r="S385" i="34"/>
  <c r="T385" i="34"/>
  <c r="U385" i="34"/>
  <c r="W385" i="34"/>
  <c r="Y385" i="34"/>
  <c r="Z385" i="34"/>
  <c r="N386" i="34"/>
  <c r="R386" i="34"/>
  <c r="S386" i="34"/>
  <c r="T386" i="34"/>
  <c r="U386" i="34"/>
  <c r="W386" i="34"/>
  <c r="Y386" i="34"/>
  <c r="Z386" i="34"/>
  <c r="N387" i="34"/>
  <c r="R387" i="34"/>
  <c r="S387" i="34"/>
  <c r="T387" i="34"/>
  <c r="U387" i="34"/>
  <c r="W387" i="34"/>
  <c r="Y387" i="34"/>
  <c r="Z387" i="34"/>
  <c r="N388" i="34"/>
  <c r="R388" i="34"/>
  <c r="S388" i="34"/>
  <c r="T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R397" i="34"/>
  <c r="S397" i="34"/>
  <c r="T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R407" i="34"/>
  <c r="S407" i="34"/>
  <c r="T407" i="34"/>
  <c r="U407" i="34"/>
  <c r="W407" i="34"/>
  <c r="Y407" i="34"/>
  <c r="Z407" i="34"/>
  <c r="N408" i="34"/>
  <c r="R408" i="34"/>
  <c r="S408" i="34"/>
  <c r="T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U416" i="34"/>
  <c r="W416" i="34"/>
  <c r="Y416" i="34"/>
  <c r="Z416" i="34"/>
  <c r="N417" i="34"/>
  <c r="U417" i="34"/>
  <c r="W417" i="34"/>
  <c r="Y417" i="34"/>
  <c r="Z417" i="34"/>
  <c r="N418" i="34"/>
  <c r="U418" i="34"/>
  <c r="W418" i="34"/>
  <c r="Y418" i="34"/>
  <c r="Z418" i="34"/>
  <c r="N419" i="34"/>
  <c r="U419" i="34"/>
  <c r="W419" i="34"/>
  <c r="Y419" i="34"/>
  <c r="Z419" i="34"/>
  <c r="N420" i="34"/>
  <c r="R420" i="34"/>
  <c r="S420" i="34"/>
  <c r="T420" i="34"/>
  <c r="U420" i="34"/>
  <c r="W420" i="34"/>
  <c r="Y420" i="34"/>
  <c r="Z420" i="34"/>
  <c r="N421" i="34"/>
  <c r="R421" i="34"/>
  <c r="S421" i="34"/>
  <c r="T421" i="34"/>
  <c r="U421" i="34"/>
  <c r="W421" i="34"/>
  <c r="Y421" i="34"/>
  <c r="Z421" i="34"/>
  <c r="N422" i="34"/>
  <c r="R422" i="34"/>
  <c r="S422" i="34"/>
  <c r="T422" i="34"/>
  <c r="U422" i="34"/>
  <c r="W422" i="34"/>
  <c r="Y422" i="34"/>
  <c r="Z422" i="34"/>
  <c r="N423" i="34"/>
  <c r="R423" i="34"/>
  <c r="S423" i="34"/>
  <c r="T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R426" i="34"/>
  <c r="S426" i="34"/>
  <c r="T426" i="34"/>
  <c r="U426" i="34"/>
  <c r="W426" i="34"/>
  <c r="Y426" i="34"/>
  <c r="Z426" i="34"/>
  <c r="N427" i="34"/>
  <c r="R427" i="34"/>
  <c r="S427" i="34"/>
  <c r="T427" i="34"/>
  <c r="U427" i="34"/>
  <c r="W427" i="34"/>
  <c r="Y427" i="34"/>
  <c r="Z427" i="34"/>
  <c r="N428" i="34"/>
  <c r="R428" i="34"/>
  <c r="S428" i="34"/>
  <c r="T428" i="34"/>
  <c r="U428" i="34"/>
  <c r="W428" i="34"/>
  <c r="Y428" i="34"/>
  <c r="Z428" i="34"/>
  <c r="N429" i="34"/>
  <c r="R429" i="34"/>
  <c r="S429" i="34"/>
  <c r="T429" i="34"/>
  <c r="U429" i="34"/>
  <c r="W429" i="34"/>
  <c r="Y429" i="34"/>
  <c r="Z429" i="34"/>
  <c r="N430" i="34"/>
  <c r="R430" i="34"/>
  <c r="S430" i="34"/>
  <c r="T430" i="34"/>
  <c r="U430" i="34"/>
  <c r="W430" i="34"/>
  <c r="Y430" i="34"/>
  <c r="Z430" i="34"/>
  <c r="N431" i="34"/>
  <c r="R431" i="34"/>
  <c r="S431" i="34"/>
  <c r="T431" i="34"/>
  <c r="U431" i="34"/>
  <c r="W431" i="34"/>
  <c r="Y431" i="34"/>
  <c r="Z431" i="34"/>
  <c r="N432" i="34"/>
  <c r="R432" i="34"/>
  <c r="S432" i="34"/>
  <c r="T432" i="34"/>
  <c r="U432" i="34"/>
  <c r="W432" i="34"/>
  <c r="Y432" i="34"/>
  <c r="Z432" i="34"/>
  <c r="N433" i="34"/>
  <c r="R433" i="34"/>
  <c r="S433" i="34"/>
  <c r="T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U439" i="34"/>
  <c r="W439" i="34"/>
  <c r="Y439" i="34"/>
  <c r="Z439" i="34"/>
  <c r="N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U459" i="34"/>
  <c r="W459" i="34"/>
  <c r="Y459" i="34"/>
  <c r="Z459" i="34"/>
  <c r="N460" i="34"/>
  <c r="U460" i="34"/>
  <c r="W460" i="34"/>
  <c r="Y460" i="34"/>
  <c r="Z460" i="34"/>
  <c r="N461" i="34"/>
  <c r="U461" i="34"/>
  <c r="W461" i="34"/>
  <c r="Y461" i="34"/>
  <c r="Z461" i="34"/>
  <c r="N462" i="34"/>
  <c r="U462" i="34"/>
  <c r="W462" i="34"/>
  <c r="Y462" i="34"/>
  <c r="Z462" i="34"/>
  <c r="N463" i="34"/>
  <c r="U463" i="34"/>
  <c r="W463" i="34"/>
  <c r="Y463" i="34"/>
  <c r="Z463" i="34"/>
  <c r="N464" i="34"/>
  <c r="U464" i="34"/>
  <c r="W464" i="34"/>
  <c r="Y464" i="34"/>
  <c r="Z464" i="34"/>
  <c r="N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R468" i="34"/>
  <c r="S468" i="34"/>
  <c r="T468" i="34"/>
  <c r="U468" i="34"/>
  <c r="W468" i="34"/>
  <c r="Y468" i="34"/>
  <c r="Z468" i="34"/>
  <c r="N469" i="34"/>
  <c r="R469" i="34"/>
  <c r="S469" i="34"/>
  <c r="T469" i="34"/>
  <c r="U469" i="34"/>
  <c r="W469" i="34"/>
  <c r="Y469" i="34"/>
  <c r="Z469" i="34"/>
  <c r="N470" i="34"/>
  <c r="R470" i="34"/>
  <c r="S470" i="34"/>
  <c r="T470" i="34"/>
  <c r="U470" i="34"/>
  <c r="W470" i="34"/>
  <c r="Y470" i="34"/>
  <c r="Z470" i="34"/>
  <c r="N471" i="34"/>
  <c r="R471" i="34"/>
  <c r="S471" i="34"/>
  <c r="T471" i="34"/>
  <c r="U471" i="34"/>
  <c r="W471" i="34"/>
  <c r="Y471" i="34"/>
  <c r="Z471" i="34"/>
  <c r="N472" i="34"/>
  <c r="R472" i="34"/>
  <c r="S472" i="34"/>
  <c r="T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R498" i="34"/>
  <c r="S498" i="34"/>
  <c r="T498" i="34"/>
  <c r="U498" i="34"/>
  <c r="W498" i="34"/>
  <c r="Y498" i="34"/>
  <c r="Z498" i="34"/>
  <c r="N499" i="34"/>
  <c r="R499" i="34"/>
  <c r="S499" i="34"/>
  <c r="T499" i="34"/>
  <c r="U499" i="34"/>
  <c r="W499" i="34"/>
  <c r="Y499" i="34"/>
  <c r="Z499" i="34"/>
  <c r="N500" i="34"/>
  <c r="U500" i="34"/>
  <c r="W500" i="34"/>
  <c r="Y500" i="34"/>
  <c r="Z500" i="34"/>
  <c r="N501" i="34"/>
  <c r="U501" i="34"/>
  <c r="W501" i="34"/>
  <c r="Y501" i="34"/>
  <c r="Z501" i="34"/>
  <c r="N502" i="34"/>
  <c r="U502" i="34"/>
  <c r="W502" i="34"/>
  <c r="Y502" i="34"/>
  <c r="Z502" i="34"/>
  <c r="N503" i="34"/>
  <c r="U503" i="34"/>
  <c r="W503" i="34"/>
  <c r="Y503" i="34"/>
  <c r="Z503" i="34"/>
  <c r="N504" i="34"/>
  <c r="U504" i="34"/>
  <c r="W504" i="34"/>
  <c r="Y504" i="34"/>
  <c r="Z504" i="34"/>
  <c r="N505" i="34"/>
  <c r="R505" i="34"/>
  <c r="S505" i="34"/>
  <c r="T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R508" i="34"/>
  <c r="S508" i="34"/>
  <c r="T508" i="34"/>
  <c r="U508" i="34"/>
  <c r="W508" i="34"/>
  <c r="Y508" i="34"/>
  <c r="Z508" i="34"/>
  <c r="N509" i="34"/>
  <c r="R509" i="34"/>
  <c r="S509" i="34"/>
  <c r="T509" i="34"/>
  <c r="U509" i="34"/>
  <c r="W509" i="34"/>
  <c r="Y509" i="34"/>
  <c r="Z509" i="34"/>
  <c r="N510" i="34"/>
  <c r="R510" i="34"/>
  <c r="S510" i="34"/>
  <c r="T510" i="34"/>
  <c r="U510" i="34"/>
  <c r="W510" i="34"/>
  <c r="Y510" i="34"/>
  <c r="Z510" i="34"/>
  <c r="N511" i="34"/>
  <c r="R511" i="34"/>
  <c r="S511" i="34"/>
  <c r="T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R518" i="34"/>
  <c r="S518" i="34"/>
  <c r="T518" i="34"/>
  <c r="U518" i="34"/>
  <c r="W518" i="34"/>
  <c r="Y518" i="34"/>
  <c r="Z518" i="34"/>
  <c r="N519" i="34"/>
  <c r="R519" i="34"/>
  <c r="S519" i="34"/>
  <c r="T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R524" i="34"/>
  <c r="S524" i="34"/>
  <c r="T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U540" i="34"/>
  <c r="W540" i="34"/>
  <c r="Y540" i="34"/>
  <c r="Z540" i="34"/>
  <c r="N541" i="34"/>
  <c r="U541" i="34"/>
  <c r="W541" i="34"/>
  <c r="Y541" i="34"/>
  <c r="Z541" i="34"/>
  <c r="N542" i="34"/>
  <c r="U542" i="34"/>
  <c r="W542" i="34"/>
  <c r="Y542" i="34"/>
  <c r="Z542" i="34"/>
  <c r="N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R545" i="34"/>
  <c r="S545" i="34"/>
  <c r="T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R549" i="34"/>
  <c r="S549" i="34"/>
  <c r="T549" i="34"/>
  <c r="U549" i="34"/>
  <c r="W549" i="34"/>
  <c r="Y549" i="34"/>
  <c r="Z549" i="34"/>
  <c r="N550" i="34"/>
  <c r="U550" i="34"/>
  <c r="W550" i="34"/>
  <c r="Y550" i="34"/>
  <c r="Z550" i="34"/>
  <c r="N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U556" i="34"/>
  <c r="W556" i="34"/>
  <c r="Y556" i="34"/>
  <c r="Z556" i="34"/>
  <c r="N557" i="34"/>
  <c r="R557" i="34"/>
  <c r="S557" i="34"/>
  <c r="T557" i="34"/>
  <c r="U557" i="34"/>
  <c r="W557" i="34"/>
  <c r="Y557" i="34"/>
  <c r="Z557" i="34"/>
  <c r="N558" i="34"/>
  <c r="R558" i="34"/>
  <c r="S558" i="34"/>
  <c r="T558" i="34"/>
  <c r="U558" i="34"/>
  <c r="W558" i="34"/>
  <c r="Y558" i="34"/>
  <c r="Z558" i="34"/>
  <c r="N559" i="34"/>
  <c r="R559" i="34"/>
  <c r="S559" i="34"/>
  <c r="T559" i="34"/>
  <c r="U559" i="34"/>
  <c r="W559" i="34"/>
  <c r="Y559" i="34"/>
  <c r="Z559" i="34"/>
  <c r="N560" i="34"/>
  <c r="R560" i="34"/>
  <c r="S560" i="34"/>
  <c r="T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R573" i="34"/>
  <c r="S573" i="34"/>
  <c r="T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U581" i="34"/>
  <c r="W581" i="34"/>
  <c r="Y581" i="34"/>
  <c r="Z581" i="34"/>
  <c r="N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R587" i="34"/>
  <c r="S587" i="34"/>
  <c r="T587" i="34"/>
  <c r="U587" i="34"/>
  <c r="W587" i="34"/>
  <c r="Y587" i="34"/>
  <c r="Z587" i="34"/>
  <c r="N588" i="34"/>
  <c r="R588" i="34"/>
  <c r="S588" i="34"/>
  <c r="T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R593" i="34"/>
  <c r="S593" i="34"/>
  <c r="T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R601" i="34"/>
  <c r="S601" i="34"/>
  <c r="T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R607" i="34"/>
  <c r="S607" i="34"/>
  <c r="T607" i="34"/>
  <c r="U607" i="34"/>
  <c r="W607" i="34"/>
  <c r="Y607" i="34"/>
  <c r="Z607" i="34"/>
  <c r="N608" i="34"/>
  <c r="R608" i="34"/>
  <c r="S608" i="34"/>
  <c r="T608" i="34"/>
  <c r="U608" i="34"/>
  <c r="W608" i="34"/>
  <c r="Y608" i="34"/>
  <c r="Z608" i="34"/>
  <c r="N609" i="34"/>
  <c r="U609" i="34"/>
  <c r="W609" i="34"/>
  <c r="Y609" i="34"/>
  <c r="Z609" i="34"/>
  <c r="N610" i="34"/>
  <c r="R610" i="34"/>
  <c r="S610" i="34"/>
  <c r="T610" i="34"/>
  <c r="U610" i="34"/>
  <c r="W610" i="34"/>
  <c r="Y610" i="34"/>
  <c r="Z610" i="34"/>
  <c r="N611" i="34"/>
  <c r="R611" i="34"/>
  <c r="S611" i="34"/>
  <c r="T611" i="34"/>
  <c r="U611" i="34"/>
  <c r="W611" i="34"/>
  <c r="Y611" i="34"/>
  <c r="Z611" i="34"/>
  <c r="N612" i="34"/>
  <c r="R612" i="34"/>
  <c r="S612" i="34"/>
  <c r="T612" i="34"/>
  <c r="U612" i="34"/>
  <c r="W612" i="34"/>
  <c r="Y612" i="34"/>
  <c r="Z612" i="34"/>
  <c r="N613" i="34"/>
  <c r="R613" i="34"/>
  <c r="S613" i="34"/>
  <c r="T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R632" i="34"/>
  <c r="S632" i="34"/>
  <c r="T632" i="34"/>
  <c r="U632" i="34"/>
  <c r="W632" i="34"/>
  <c r="Y632" i="34"/>
  <c r="Z632" i="34"/>
  <c r="N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U644" i="34"/>
  <c r="W644" i="34"/>
  <c r="Y644" i="34"/>
  <c r="Z644" i="34"/>
  <c r="N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R648" i="34"/>
  <c r="S648" i="34"/>
  <c r="T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U651" i="34"/>
  <c r="W651" i="34"/>
  <c r="Y651" i="34"/>
  <c r="Z651" i="34"/>
  <c r="N652" i="34"/>
  <c r="U652" i="34"/>
  <c r="W652" i="34"/>
  <c r="Y652" i="34"/>
  <c r="Z652" i="34"/>
  <c r="N653" i="34"/>
  <c r="U653" i="34"/>
  <c r="W653" i="34"/>
  <c r="Y653" i="34"/>
  <c r="Z653" i="34"/>
  <c r="N654" i="34"/>
  <c r="U654" i="34"/>
  <c r="W654" i="34"/>
  <c r="Y654" i="34"/>
  <c r="Z654" i="34"/>
  <c r="N655" i="34"/>
  <c r="U655" i="34"/>
  <c r="W655" i="34"/>
  <c r="Y655" i="34"/>
  <c r="Z655" i="34"/>
  <c r="N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R661" i="34"/>
  <c r="S661" i="34"/>
  <c r="T661" i="34"/>
  <c r="U661" i="34"/>
  <c r="W661" i="34"/>
  <c r="Y661" i="34"/>
  <c r="Z661" i="34"/>
  <c r="N662" i="34"/>
  <c r="R662" i="34"/>
  <c r="S662" i="34"/>
  <c r="T662" i="34"/>
  <c r="U662" i="34"/>
  <c r="W662" i="34"/>
  <c r="Y662" i="34"/>
  <c r="Z662" i="34"/>
  <c r="N663" i="34"/>
  <c r="R663" i="34"/>
  <c r="S663" i="34"/>
  <c r="T663" i="34"/>
  <c r="U663" i="34"/>
  <c r="W663" i="34"/>
  <c r="Y663" i="34"/>
  <c r="Z663" i="34"/>
  <c r="N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U672" i="34"/>
  <c r="W672" i="34"/>
  <c r="Y672" i="34"/>
  <c r="Z672" i="34"/>
  <c r="N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R678" i="34"/>
  <c r="S678" i="34"/>
  <c r="T678" i="34"/>
  <c r="U678" i="34"/>
  <c r="W678" i="34"/>
  <c r="Y678" i="34"/>
  <c r="Z678" i="34"/>
  <c r="N679" i="34"/>
  <c r="R679" i="34"/>
  <c r="S679" i="34"/>
  <c r="T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R690" i="34"/>
  <c r="S690" i="34"/>
  <c r="T690" i="34"/>
  <c r="U690" i="34"/>
  <c r="W690" i="34"/>
  <c r="Y690" i="34"/>
  <c r="Z690" i="34"/>
  <c r="N691" i="34"/>
  <c r="R691" i="34"/>
  <c r="S691" i="34"/>
  <c r="T691" i="34"/>
  <c r="U691" i="34"/>
  <c r="W691" i="34"/>
  <c r="Y691" i="34"/>
  <c r="Z691" i="34"/>
  <c r="N692" i="34"/>
  <c r="R692" i="34"/>
  <c r="S692" i="34"/>
  <c r="T692" i="34"/>
  <c r="U692" i="34"/>
  <c r="W692" i="34"/>
  <c r="Y692" i="34"/>
  <c r="Z692" i="34"/>
  <c r="N693" i="34"/>
  <c r="U693" i="34"/>
  <c r="W693" i="34"/>
  <c r="Y693" i="34"/>
  <c r="Z693" i="34"/>
  <c r="N694" i="34"/>
  <c r="U694" i="34"/>
  <c r="W694" i="34"/>
  <c r="Y694" i="34"/>
  <c r="Z694" i="34"/>
  <c r="N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R697" i="34"/>
  <c r="S697" i="34"/>
  <c r="T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U706" i="34"/>
  <c r="W706" i="34"/>
  <c r="Y706" i="34"/>
  <c r="Z706" i="34"/>
  <c r="N707" i="34"/>
  <c r="U707" i="34"/>
  <c r="W707" i="34"/>
  <c r="Y707" i="34"/>
  <c r="Z707" i="34"/>
  <c r="N708" i="34"/>
  <c r="R708" i="34"/>
  <c r="S708" i="34"/>
  <c r="T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U710" i="34"/>
  <c r="W710" i="34"/>
  <c r="Y710" i="34"/>
  <c r="Z710" i="34"/>
  <c r="N711" i="34"/>
  <c r="U711" i="34"/>
  <c r="W711" i="34"/>
  <c r="Y711" i="34"/>
  <c r="Z711" i="34"/>
  <c r="N712" i="34"/>
  <c r="U712" i="34"/>
  <c r="W712" i="34"/>
  <c r="Y712" i="34"/>
  <c r="Z712" i="34"/>
  <c r="N713" i="34"/>
  <c r="R713" i="34"/>
  <c r="S713" i="34"/>
  <c r="T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R716" i="34"/>
  <c r="S716" i="34"/>
  <c r="T716" i="34"/>
  <c r="U716" i="34"/>
  <c r="W716" i="34"/>
  <c r="Y716" i="34"/>
  <c r="Z716" i="34"/>
  <c r="N717" i="34"/>
  <c r="R717" i="34"/>
  <c r="S717" i="34"/>
  <c r="T717" i="34"/>
  <c r="U717" i="34"/>
  <c r="W717" i="34"/>
  <c r="Y717" i="34"/>
  <c r="Z717" i="34"/>
  <c r="N718" i="34"/>
  <c r="R718" i="34"/>
  <c r="S718" i="34"/>
  <c r="T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U722" i="34"/>
  <c r="W722" i="34"/>
  <c r="Y722" i="34"/>
  <c r="Z722" i="34"/>
  <c r="N723" i="34"/>
  <c r="U723" i="34"/>
  <c r="W723" i="34"/>
  <c r="Y723" i="34"/>
  <c r="Z723" i="34"/>
  <c r="N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R727" i="34"/>
  <c r="S727" i="34"/>
  <c r="T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R734" i="34"/>
  <c r="S734" i="34"/>
  <c r="T734" i="34"/>
  <c r="U734" i="34"/>
  <c r="W734" i="34"/>
  <c r="Y734" i="34"/>
  <c r="Z734" i="34"/>
  <c r="N735" i="34"/>
  <c r="R735" i="34"/>
  <c r="S735" i="34"/>
  <c r="T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R747" i="34"/>
  <c r="S747" i="34"/>
  <c r="T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R751" i="34"/>
  <c r="S751" i="34"/>
  <c r="T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U759" i="34"/>
  <c r="W759" i="34"/>
  <c r="Y759" i="34"/>
  <c r="Z759" i="34"/>
  <c r="N760" i="34"/>
  <c r="R760" i="34"/>
  <c r="S760" i="34"/>
  <c r="T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U766" i="34"/>
  <c r="W766" i="34"/>
  <c r="Y766" i="34"/>
  <c r="Z766" i="34"/>
  <c r="N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R771" i="34"/>
  <c r="S771" i="34"/>
  <c r="T771" i="34"/>
  <c r="U771" i="34"/>
  <c r="W771" i="34"/>
  <c r="Y771" i="34"/>
  <c r="Z771" i="34"/>
  <c r="N772" i="34"/>
  <c r="R772" i="34"/>
  <c r="S772" i="34"/>
  <c r="T772" i="34"/>
  <c r="U772" i="34"/>
  <c r="W772" i="34"/>
  <c r="Y772" i="34"/>
  <c r="Z772" i="34"/>
  <c r="N773" i="34"/>
  <c r="R773" i="34"/>
  <c r="S773" i="34"/>
  <c r="T773" i="34"/>
  <c r="U773" i="34"/>
  <c r="W773" i="34"/>
  <c r="Y773" i="34"/>
  <c r="Z773" i="34"/>
  <c r="N774" i="34"/>
  <c r="R774" i="34"/>
  <c r="S774" i="34"/>
  <c r="T774" i="34"/>
  <c r="U774" i="34"/>
  <c r="W774" i="34"/>
  <c r="Y774" i="34"/>
  <c r="Z774" i="34"/>
  <c r="N775" i="34"/>
  <c r="R775" i="34"/>
  <c r="S775" i="34"/>
  <c r="T775" i="34"/>
  <c r="U775" i="34"/>
  <c r="W775" i="34"/>
  <c r="Y775" i="34"/>
  <c r="Z775" i="34"/>
  <c r="N776" i="34"/>
  <c r="R776" i="34"/>
  <c r="S776" i="34"/>
  <c r="T776" i="34"/>
  <c r="U776" i="34"/>
  <c r="W776" i="34"/>
  <c r="Y776" i="34"/>
  <c r="Z776" i="34"/>
  <c r="N777" i="34"/>
  <c r="R777" i="34"/>
  <c r="S777" i="34"/>
  <c r="T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U779" i="34"/>
  <c r="W779" i="34"/>
  <c r="Y779" i="34"/>
  <c r="Z779" i="34"/>
  <c r="N780" i="34"/>
  <c r="U780" i="34"/>
  <c r="W780" i="34"/>
  <c r="Y780" i="34"/>
  <c r="Z780" i="34"/>
  <c r="N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R784" i="34"/>
  <c r="S784" i="34"/>
  <c r="T784" i="34"/>
  <c r="U784" i="34"/>
  <c r="W784" i="34"/>
  <c r="Y784" i="34"/>
  <c r="Z784" i="34"/>
  <c r="N785" i="34"/>
  <c r="R785" i="34"/>
  <c r="S785" i="34"/>
  <c r="T785" i="34"/>
  <c r="U785" i="34"/>
  <c r="W785" i="34"/>
  <c r="Y785" i="34"/>
  <c r="Z785" i="34"/>
  <c r="N786" i="34"/>
  <c r="R786" i="34"/>
  <c r="S786" i="34"/>
  <c r="T786" i="34"/>
  <c r="U786" i="34"/>
  <c r="W786" i="34"/>
  <c r="Y786" i="34"/>
  <c r="Z786" i="34"/>
  <c r="N787" i="34"/>
  <c r="R787" i="34"/>
  <c r="S787" i="34"/>
  <c r="T787" i="34"/>
  <c r="U787" i="34"/>
  <c r="W787" i="34"/>
  <c r="Y787" i="34"/>
  <c r="Z787" i="34"/>
  <c r="N788" i="34"/>
  <c r="R788" i="34"/>
  <c r="S788" i="34"/>
  <c r="T788" i="34"/>
  <c r="U788" i="34"/>
  <c r="W788" i="34"/>
  <c r="Y788" i="34"/>
  <c r="Z788" i="34"/>
  <c r="N789" i="34"/>
  <c r="R789" i="34"/>
  <c r="S789" i="34"/>
  <c r="T789" i="34"/>
  <c r="U789" i="34"/>
  <c r="W789" i="34"/>
  <c r="Y789" i="34"/>
  <c r="Z789" i="34"/>
  <c r="N790" i="34"/>
  <c r="R790" i="34"/>
  <c r="S790" i="34"/>
  <c r="T790" i="34"/>
  <c r="U790" i="34"/>
  <c r="W790" i="34"/>
  <c r="Y790" i="34"/>
  <c r="Z790" i="34"/>
  <c r="N791" i="34"/>
  <c r="R791" i="34"/>
  <c r="S791" i="34"/>
  <c r="T791" i="34"/>
  <c r="U791" i="34"/>
  <c r="W791" i="34"/>
  <c r="Y791" i="34"/>
  <c r="Z791" i="34"/>
  <c r="N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R794" i="34"/>
  <c r="S794" i="34"/>
  <c r="T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R797" i="34"/>
  <c r="S797" i="34"/>
  <c r="T797" i="34"/>
  <c r="U797" i="34"/>
  <c r="W797" i="34"/>
  <c r="Y797" i="34"/>
  <c r="Z797" i="34"/>
  <c r="N798" i="34"/>
  <c r="R798" i="34"/>
  <c r="S798" i="34"/>
  <c r="T798" i="34"/>
  <c r="U798" i="34"/>
  <c r="W798" i="34"/>
  <c r="Y798" i="34"/>
  <c r="Z798" i="34"/>
  <c r="N799" i="34"/>
  <c r="R799" i="34"/>
  <c r="S799" i="34"/>
  <c r="T799" i="34"/>
  <c r="U799" i="34"/>
  <c r="W799" i="34"/>
  <c r="Y799" i="34"/>
  <c r="Z799" i="34"/>
  <c r="N800" i="34"/>
  <c r="R800" i="34"/>
  <c r="S800" i="34"/>
  <c r="T800" i="34"/>
  <c r="U800" i="34"/>
  <c r="W800" i="34"/>
  <c r="Y800" i="34"/>
  <c r="Z800" i="34"/>
  <c r="N801" i="34"/>
  <c r="R801" i="34"/>
  <c r="S801" i="34"/>
  <c r="T801" i="34"/>
  <c r="U801" i="34"/>
  <c r="W801" i="34"/>
  <c r="Y801" i="34"/>
  <c r="Z801" i="34"/>
  <c r="N802" i="34"/>
  <c r="R802" i="34"/>
  <c r="S802" i="34"/>
  <c r="T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U805" i="34"/>
  <c r="W805" i="34"/>
  <c r="Y805" i="34"/>
  <c r="Z805" i="34"/>
  <c r="N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R810" i="34"/>
  <c r="S810" i="34"/>
  <c r="T810" i="34"/>
  <c r="U810" i="34"/>
  <c r="W810" i="34"/>
  <c r="Y810" i="34"/>
  <c r="Z810" i="34"/>
  <c r="N811" i="34"/>
  <c r="R811" i="34"/>
  <c r="S811" i="34"/>
  <c r="T811" i="34"/>
  <c r="U811" i="34"/>
  <c r="W811" i="34"/>
  <c r="Y811" i="34"/>
  <c r="Z811" i="34"/>
  <c r="N812" i="34"/>
  <c r="R812" i="34"/>
  <c r="S812" i="34"/>
  <c r="T812" i="34"/>
  <c r="U812" i="34"/>
  <c r="W812" i="34"/>
  <c r="Y812" i="34"/>
  <c r="Z812" i="34"/>
  <c r="N813" i="34"/>
  <c r="R813" i="34"/>
  <c r="S813" i="34"/>
  <c r="T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U816" i="34"/>
  <c r="W816" i="34"/>
  <c r="Y816" i="34"/>
  <c r="Z816" i="34"/>
  <c r="N817" i="34"/>
  <c r="U817" i="34"/>
  <c r="W817" i="34"/>
  <c r="Y817" i="34"/>
  <c r="Z817" i="34"/>
  <c r="N818" i="34"/>
  <c r="U818" i="34"/>
  <c r="W818" i="34"/>
  <c r="Y818" i="34"/>
  <c r="Z818" i="34"/>
  <c r="N819" i="34"/>
  <c r="U819" i="34"/>
  <c r="W819" i="34"/>
  <c r="Y819" i="34"/>
  <c r="Z819" i="34"/>
  <c r="N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R824" i="34"/>
  <c r="S824" i="34"/>
  <c r="T824" i="34"/>
  <c r="U824" i="34"/>
  <c r="W824" i="34"/>
  <c r="Y824" i="34"/>
  <c r="Z824" i="34"/>
  <c r="N825" i="34"/>
  <c r="R825" i="34"/>
  <c r="S825" i="34"/>
  <c r="T825" i="34"/>
  <c r="U825" i="34"/>
  <c r="W825" i="34"/>
  <c r="Y825" i="34"/>
  <c r="Z825" i="34"/>
  <c r="N826" i="34"/>
  <c r="U826" i="34"/>
  <c r="W826" i="34"/>
  <c r="Y826" i="34"/>
  <c r="Z826" i="34"/>
  <c r="N827" i="34"/>
  <c r="R827" i="34"/>
  <c r="S827" i="34"/>
  <c r="T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U829" i="34"/>
  <c r="W829" i="34"/>
  <c r="Y829" i="34"/>
  <c r="Z829" i="34"/>
  <c r="N830" i="34"/>
  <c r="U830" i="34"/>
  <c r="W830" i="34"/>
  <c r="Y830" i="34"/>
  <c r="Z830" i="34"/>
  <c r="N831" i="34"/>
  <c r="U831" i="34"/>
  <c r="W831" i="34"/>
  <c r="Y831" i="34"/>
  <c r="Z831" i="34"/>
  <c r="N832" i="34"/>
  <c r="U832" i="34"/>
  <c r="W832" i="34"/>
  <c r="Y832" i="34"/>
  <c r="Z832" i="34"/>
  <c r="N833" i="34"/>
  <c r="U833" i="34"/>
  <c r="W833" i="34"/>
  <c r="Y833" i="34"/>
  <c r="Z833" i="34"/>
  <c r="N834" i="34"/>
  <c r="U834" i="34"/>
  <c r="W834" i="34"/>
  <c r="Y834" i="34"/>
  <c r="Z834" i="34"/>
  <c r="N835" i="34"/>
  <c r="U835" i="34"/>
  <c r="W835" i="34"/>
  <c r="Y835" i="34"/>
  <c r="Z835" i="34"/>
  <c r="N836" i="34"/>
  <c r="U836" i="34"/>
  <c r="W836" i="34"/>
  <c r="Y836" i="34"/>
  <c r="Z836" i="34"/>
  <c r="N837" i="34"/>
  <c r="R837" i="34"/>
  <c r="S837" i="34"/>
  <c r="T837" i="34"/>
  <c r="U837" i="34"/>
  <c r="W837" i="34"/>
  <c r="Y837" i="34"/>
  <c r="Z837" i="34"/>
  <c r="N838" i="34"/>
  <c r="R838" i="34"/>
  <c r="S838" i="34"/>
  <c r="T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U842" i="34"/>
  <c r="W842" i="34"/>
  <c r="Y842" i="34"/>
  <c r="Z842" i="34"/>
  <c r="N843" i="34"/>
  <c r="U843" i="34"/>
  <c r="W843" i="34"/>
  <c r="Y843" i="34"/>
  <c r="Z843" i="34"/>
  <c r="N844" i="34"/>
  <c r="U844" i="34"/>
  <c r="W844" i="34"/>
  <c r="Y844" i="34"/>
  <c r="Z844" i="34"/>
  <c r="N845" i="34"/>
  <c r="U845" i="34"/>
  <c r="W845" i="34"/>
  <c r="Y845" i="34"/>
  <c r="Z845" i="34"/>
  <c r="N846" i="34"/>
  <c r="U846" i="34"/>
  <c r="W846" i="34"/>
  <c r="Y846" i="34"/>
  <c r="Z846" i="34"/>
  <c r="N847" i="34"/>
  <c r="U847" i="34"/>
  <c r="W847" i="34"/>
  <c r="Y847" i="34"/>
  <c r="Z847" i="34"/>
  <c r="N848" i="34"/>
  <c r="R848" i="34"/>
  <c r="S848" i="34"/>
  <c r="T848" i="34"/>
  <c r="U848" i="34"/>
  <c r="W848" i="34"/>
  <c r="Y848" i="34"/>
  <c r="Z848" i="34"/>
  <c r="N849" i="34"/>
  <c r="R849" i="34"/>
  <c r="S849" i="34"/>
  <c r="T849" i="34"/>
  <c r="U849" i="34"/>
  <c r="W849" i="34"/>
  <c r="Y849" i="34"/>
  <c r="Z849" i="34"/>
  <c r="N850" i="34"/>
  <c r="R850" i="34"/>
  <c r="S850" i="34"/>
  <c r="T850" i="34"/>
  <c r="U850" i="34"/>
  <c r="W850" i="34"/>
  <c r="Y850" i="34"/>
  <c r="Z850" i="34"/>
  <c r="N851" i="34"/>
  <c r="R851" i="34"/>
  <c r="S851" i="34"/>
  <c r="T851" i="34"/>
  <c r="U851" i="34"/>
  <c r="W851" i="34"/>
  <c r="Y851" i="34"/>
  <c r="Z851" i="34"/>
  <c r="N852" i="34"/>
  <c r="R852" i="34"/>
  <c r="S852" i="34"/>
  <c r="T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U855" i="34"/>
  <c r="W855" i="34"/>
  <c r="Y855" i="34"/>
  <c r="Z855" i="34"/>
  <c r="N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R860" i="34"/>
  <c r="S860" i="34"/>
  <c r="T860" i="34"/>
  <c r="U860" i="34"/>
  <c r="W860" i="34"/>
  <c r="Y860" i="34"/>
  <c r="Z860" i="34"/>
  <c r="N861" i="34"/>
  <c r="R861" i="34"/>
  <c r="S861" i="34"/>
  <c r="T861" i="34"/>
  <c r="U861" i="34"/>
  <c r="W861" i="34"/>
  <c r="Y861" i="34"/>
  <c r="Z861" i="34"/>
  <c r="N862" i="34"/>
  <c r="R862" i="34"/>
  <c r="S862" i="34"/>
  <c r="T862" i="34"/>
  <c r="U862" i="34"/>
  <c r="W862" i="34"/>
  <c r="Y862" i="34"/>
  <c r="Z862" i="34"/>
  <c r="N863" i="34"/>
  <c r="R863" i="34"/>
  <c r="S863" i="34"/>
  <c r="T863" i="34"/>
  <c r="U863" i="34"/>
  <c r="W863" i="34"/>
  <c r="Y863" i="34"/>
  <c r="Z863" i="34"/>
  <c r="N864" i="34"/>
  <c r="R864" i="34"/>
  <c r="S864" i="34"/>
  <c r="T864" i="34"/>
  <c r="U864" i="34"/>
  <c r="W864" i="34"/>
  <c r="Y864" i="34"/>
  <c r="Z864" i="34"/>
  <c r="N865" i="34"/>
  <c r="R865" i="34"/>
  <c r="S865" i="34"/>
  <c r="T865" i="34"/>
  <c r="U865" i="34"/>
  <c r="W865" i="34"/>
  <c r="Y865" i="34"/>
  <c r="Z865" i="34"/>
  <c r="N866" i="34"/>
  <c r="R866" i="34"/>
  <c r="S866" i="34"/>
  <c r="T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U869" i="34"/>
  <c r="W869" i="34"/>
  <c r="Y869" i="34"/>
  <c r="Z869" i="34"/>
  <c r="N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R874" i="34"/>
  <c r="S874" i="34"/>
  <c r="T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U876" i="34"/>
  <c r="W876" i="34"/>
  <c r="Y876" i="34"/>
  <c r="Z876" i="34"/>
  <c r="N877" i="34"/>
  <c r="R877" i="34"/>
  <c r="S877" i="34"/>
  <c r="T877" i="34"/>
  <c r="U877" i="34"/>
  <c r="W877" i="34"/>
  <c r="Y877" i="34"/>
  <c r="Z877" i="34"/>
  <c r="N878" i="34"/>
  <c r="R878" i="34"/>
  <c r="S878" i="34"/>
  <c r="T878" i="34"/>
  <c r="U878" i="34"/>
  <c r="W878" i="34"/>
  <c r="Y878" i="34"/>
  <c r="Z878" i="34"/>
  <c r="N879" i="34"/>
  <c r="U879" i="34"/>
  <c r="W879" i="34"/>
  <c r="Y879" i="34"/>
  <c r="Z879" i="34"/>
  <c r="N880" i="34"/>
  <c r="U880" i="34"/>
  <c r="W880" i="34"/>
  <c r="Y880" i="34"/>
  <c r="Z880" i="34"/>
  <c r="N881" i="34"/>
  <c r="U881" i="34"/>
  <c r="W881" i="34"/>
  <c r="Y881" i="34"/>
  <c r="Z881" i="34"/>
  <c r="N882" i="34"/>
  <c r="U882" i="34"/>
  <c r="W882" i="34"/>
  <c r="Y882" i="34"/>
  <c r="Z882" i="34"/>
  <c r="N883" i="34"/>
  <c r="U883" i="34"/>
  <c r="W883" i="34"/>
  <c r="Y883" i="34"/>
  <c r="Z883" i="34"/>
  <c r="N884" i="34"/>
  <c r="U884" i="34"/>
  <c r="W884" i="34"/>
  <c r="Y884" i="34"/>
  <c r="Z884" i="34"/>
  <c r="N885" i="34"/>
  <c r="U885" i="34"/>
  <c r="W885" i="34"/>
  <c r="Y885" i="34"/>
  <c r="Z885" i="34"/>
  <c r="N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U889" i="34"/>
  <c r="W889" i="34"/>
  <c r="Y889" i="34"/>
  <c r="Z889" i="34"/>
  <c r="N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U895" i="34"/>
  <c r="W895" i="34"/>
  <c r="Y895" i="34"/>
  <c r="Z895" i="34"/>
  <c r="N896" i="34"/>
  <c r="U896" i="34"/>
  <c r="W896" i="34"/>
  <c r="Y896" i="34"/>
  <c r="Z896" i="34"/>
  <c r="N897" i="34"/>
  <c r="U897" i="34"/>
  <c r="W897" i="34"/>
  <c r="Y897" i="34"/>
  <c r="Z897" i="34"/>
  <c r="N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R900" i="34"/>
  <c r="S900" i="34"/>
  <c r="T900" i="34"/>
  <c r="U900" i="34"/>
  <c r="W900" i="34"/>
  <c r="Y900" i="34"/>
  <c r="Z900" i="34"/>
  <c r="N901" i="34"/>
  <c r="R901" i="34"/>
  <c r="S901" i="34"/>
  <c r="T901" i="34"/>
  <c r="U901" i="34"/>
  <c r="W901" i="34"/>
  <c r="Y901" i="34"/>
  <c r="Z901" i="34"/>
  <c r="N902" i="34"/>
  <c r="R902" i="34"/>
  <c r="S902" i="34"/>
  <c r="T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U909" i="34"/>
  <c r="W909" i="34"/>
  <c r="Y909" i="34"/>
  <c r="Z909" i="34"/>
  <c r="N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R914" i="34"/>
  <c r="S914" i="34"/>
  <c r="T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U923" i="34"/>
  <c r="W923" i="34"/>
  <c r="Y923" i="34"/>
  <c r="Z923" i="34"/>
  <c r="N924" i="34"/>
  <c r="U924" i="34"/>
  <c r="W924" i="34"/>
  <c r="Y924" i="34"/>
  <c r="Z924" i="34"/>
  <c r="N925" i="34"/>
  <c r="U925" i="34"/>
  <c r="W925" i="34"/>
  <c r="Y925" i="34"/>
  <c r="Z925" i="34"/>
  <c r="N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U932" i="34"/>
  <c r="W932" i="34"/>
  <c r="Y932" i="34"/>
  <c r="Z932" i="34"/>
  <c r="N933" i="34"/>
  <c r="U933" i="34"/>
  <c r="W933" i="34"/>
  <c r="Y933" i="34"/>
  <c r="Z933" i="34"/>
  <c r="N934" i="34"/>
  <c r="U934" i="34"/>
  <c r="W934" i="34"/>
  <c r="Y934" i="34"/>
  <c r="Z934" i="34"/>
  <c r="N935" i="34"/>
  <c r="U935" i="34"/>
  <c r="W935" i="34"/>
  <c r="Y935" i="34"/>
  <c r="Z935" i="34"/>
  <c r="N936" i="34"/>
  <c r="U936" i="34"/>
  <c r="W936" i="34"/>
  <c r="Y936" i="34"/>
  <c r="Z936" i="34"/>
  <c r="N937" i="34"/>
  <c r="U937" i="34"/>
  <c r="W937" i="34"/>
  <c r="Y937" i="34"/>
  <c r="Z937" i="34"/>
  <c r="N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N961" i="34"/>
  <c r="R961" i="34"/>
  <c r="S961" i="34"/>
  <c r="T961" i="34"/>
  <c r="U961" i="34"/>
  <c r="W961" i="34"/>
  <c r="Y961" i="34"/>
  <c r="Z961" i="34"/>
  <c r="N962" i="34"/>
  <c r="R962" i="34"/>
  <c r="S962" i="34"/>
  <c r="T962" i="34"/>
  <c r="U962" i="34"/>
  <c r="W962" i="34"/>
  <c r="Y962" i="34"/>
  <c r="Z962" i="34"/>
  <c r="N963" i="34"/>
  <c r="R963" i="34"/>
  <c r="S963" i="34"/>
  <c r="T963" i="34"/>
  <c r="U963" i="34"/>
  <c r="W963" i="34"/>
  <c r="Y963" i="34"/>
  <c r="Z963" i="34"/>
  <c r="N964" i="34"/>
  <c r="R964" i="34"/>
  <c r="S964" i="34"/>
  <c r="T964" i="34"/>
  <c r="U964" i="34"/>
  <c r="W964" i="34"/>
  <c r="Y964" i="34"/>
  <c r="Z964" i="34"/>
  <c r="N965" i="34"/>
  <c r="R965" i="34"/>
  <c r="S965" i="34"/>
  <c r="T965" i="34"/>
  <c r="U965" i="34"/>
  <c r="W965" i="34"/>
  <c r="Y965" i="34"/>
  <c r="Z965" i="34"/>
  <c r="N966" i="34"/>
  <c r="R966" i="34"/>
  <c r="S966" i="34"/>
  <c r="T966" i="34"/>
  <c r="U966" i="34"/>
  <c r="W966" i="34"/>
  <c r="Y966" i="34"/>
  <c r="Z966" i="34"/>
  <c r="N967" i="34"/>
  <c r="R967" i="34"/>
  <c r="S967" i="34"/>
  <c r="T967" i="34"/>
  <c r="U967" i="34"/>
  <c r="W967" i="34"/>
  <c r="Y967" i="34"/>
  <c r="Z967" i="34"/>
  <c r="N968" i="34"/>
  <c r="R968" i="34"/>
  <c r="S968" i="34"/>
  <c r="T968" i="34"/>
  <c r="U968" i="34"/>
  <c r="W968" i="34"/>
  <c r="Y968" i="34"/>
  <c r="Z968" i="34"/>
  <c r="N969" i="34"/>
  <c r="R969" i="34"/>
  <c r="S969" i="34"/>
  <c r="T969" i="34"/>
  <c r="U969" i="34"/>
  <c r="W969" i="34"/>
  <c r="Y969" i="34"/>
  <c r="Z969" i="34"/>
  <c r="N970" i="34"/>
  <c r="R970" i="34"/>
  <c r="S970" i="34"/>
  <c r="T970" i="34"/>
  <c r="U970" i="34"/>
  <c r="W970" i="34"/>
  <c r="Y970" i="34"/>
  <c r="Z970" i="34"/>
  <c r="N971" i="34"/>
  <c r="R971" i="34"/>
  <c r="S971" i="34"/>
  <c r="T971" i="34"/>
  <c r="U971" i="34"/>
  <c r="W971" i="34"/>
  <c r="Y971" i="34"/>
  <c r="Z971" i="34"/>
  <c r="N972" i="34"/>
  <c r="R972" i="34"/>
  <c r="S972" i="34"/>
  <c r="T972" i="34"/>
  <c r="U972" i="34"/>
  <c r="W972" i="34"/>
  <c r="Y972" i="34"/>
  <c r="Z972" i="34"/>
  <c r="N973" i="34"/>
  <c r="R973" i="34"/>
  <c r="S973" i="34"/>
  <c r="T973" i="34"/>
  <c r="U973" i="34"/>
  <c r="W973" i="34"/>
  <c r="Y973" i="34"/>
  <c r="Z973" i="34"/>
  <c r="N974" i="34"/>
  <c r="R974" i="34"/>
  <c r="S974" i="34"/>
  <c r="T974" i="34"/>
  <c r="U974" i="34"/>
  <c r="W974" i="34"/>
  <c r="Y974" i="34"/>
  <c r="Z974" i="34"/>
  <c r="N975" i="34"/>
  <c r="R975" i="34"/>
  <c r="S975" i="34"/>
  <c r="T975" i="34"/>
  <c r="U975" i="34"/>
  <c r="W975" i="34"/>
  <c r="Y975" i="34"/>
  <c r="Z975" i="34"/>
  <c r="N976" i="34"/>
  <c r="R976" i="34"/>
  <c r="S976" i="34"/>
  <c r="T976" i="34"/>
  <c r="U976" i="34"/>
  <c r="W976" i="34"/>
  <c r="Y976" i="34"/>
  <c r="Z976" i="34"/>
  <c r="N977" i="34"/>
  <c r="R977" i="34"/>
  <c r="S977" i="34"/>
  <c r="T977" i="34"/>
  <c r="U977" i="34"/>
  <c r="W977" i="34"/>
  <c r="Y977" i="34"/>
  <c r="Z977" i="34"/>
  <c r="N978" i="34"/>
  <c r="R978" i="34"/>
  <c r="S978" i="34"/>
  <c r="T978" i="34"/>
  <c r="U978" i="34"/>
  <c r="W978" i="34"/>
  <c r="Y978" i="34"/>
  <c r="Z978" i="34"/>
  <c r="N979" i="34"/>
  <c r="R979" i="34"/>
  <c r="S979" i="34"/>
  <c r="T979" i="34"/>
  <c r="U979" i="34"/>
  <c r="W979" i="34"/>
  <c r="Y979" i="34"/>
  <c r="Z979" i="34"/>
  <c r="N980" i="34"/>
  <c r="R980" i="34"/>
  <c r="S980" i="34"/>
  <c r="T980" i="34"/>
  <c r="U980" i="34"/>
  <c r="W980" i="34"/>
  <c r="Y980" i="34"/>
  <c r="Z980" i="34"/>
  <c r="N981" i="34"/>
  <c r="R981" i="34"/>
  <c r="S981" i="34"/>
  <c r="T981" i="34"/>
  <c r="U981" i="34"/>
  <c r="W981" i="34"/>
  <c r="Y981" i="34"/>
  <c r="Z981" i="34"/>
  <c r="N982" i="34"/>
  <c r="R982" i="34"/>
  <c r="S982" i="34"/>
  <c r="T982" i="34"/>
  <c r="U982" i="34"/>
  <c r="W982" i="34"/>
  <c r="Y982" i="34"/>
  <c r="Z982" i="34"/>
  <c r="N983" i="34"/>
  <c r="R983" i="34"/>
  <c r="S983" i="34"/>
  <c r="T983" i="34"/>
  <c r="U983" i="34"/>
  <c r="W983" i="34"/>
  <c r="Y983" i="34"/>
  <c r="Z983" i="34"/>
  <c r="N984" i="34"/>
  <c r="R984" i="34"/>
  <c r="S984" i="34"/>
  <c r="T984" i="34"/>
  <c r="U984" i="34"/>
  <c r="W984" i="34"/>
  <c r="Y984" i="34"/>
  <c r="Z984" i="34"/>
  <c r="N985" i="34"/>
  <c r="R985" i="34"/>
  <c r="S985" i="34"/>
  <c r="T985" i="34"/>
  <c r="U985" i="34"/>
  <c r="W985" i="34"/>
  <c r="Y985" i="34"/>
  <c r="Z985" i="34"/>
  <c r="N986" i="34"/>
  <c r="R986" i="34"/>
  <c r="S986" i="34"/>
  <c r="T986" i="34"/>
  <c r="U986" i="34"/>
  <c r="W986" i="34"/>
  <c r="Y986" i="34"/>
  <c r="Z986" i="34"/>
  <c r="N987" i="34"/>
  <c r="R987" i="34"/>
  <c r="S987" i="34"/>
  <c r="T987" i="34"/>
  <c r="U987" i="34"/>
  <c r="W987" i="34"/>
  <c r="Y987" i="34"/>
  <c r="Z987" i="34"/>
  <c r="N988" i="34"/>
  <c r="R988" i="34"/>
  <c r="S988" i="34"/>
  <c r="T988" i="34"/>
  <c r="U988" i="34"/>
  <c r="W988" i="34"/>
  <c r="Y988" i="34"/>
  <c r="Z988" i="34"/>
  <c r="N989" i="34"/>
  <c r="R989" i="34"/>
  <c r="S989" i="34"/>
  <c r="T989" i="34"/>
  <c r="U989" i="34"/>
  <c r="W989" i="34"/>
  <c r="Y989" i="34"/>
  <c r="Z989" i="34"/>
  <c r="N990" i="34"/>
  <c r="R990" i="34"/>
  <c r="S990" i="34"/>
  <c r="T990" i="34"/>
  <c r="U990" i="34"/>
  <c r="W990" i="34"/>
  <c r="Y990" i="34"/>
  <c r="Z990" i="34"/>
  <c r="N991" i="34"/>
  <c r="R991" i="34"/>
  <c r="S991" i="34"/>
  <c r="T991" i="34"/>
  <c r="U991" i="34"/>
  <c r="W991" i="34"/>
  <c r="Y991" i="34"/>
  <c r="Z991" i="34"/>
  <c r="N992" i="34"/>
  <c r="R992" i="34"/>
  <c r="S992" i="34"/>
  <c r="T992" i="34"/>
  <c r="U992" i="34"/>
  <c r="W992" i="34"/>
  <c r="Y992" i="34"/>
  <c r="Z992" i="34"/>
  <c r="N993" i="34"/>
  <c r="R993" i="34"/>
  <c r="S993" i="34"/>
  <c r="T993" i="34"/>
  <c r="U993" i="34"/>
  <c r="W993" i="34"/>
  <c r="Y993" i="34"/>
  <c r="Z993" i="34"/>
  <c r="N994" i="34"/>
  <c r="R994" i="34"/>
  <c r="S994" i="34"/>
  <c r="T994" i="34"/>
  <c r="U994" i="34"/>
  <c r="W994" i="34"/>
  <c r="Y994" i="34"/>
  <c r="Z994" i="34"/>
  <c r="N995" i="34"/>
  <c r="R995" i="34"/>
  <c r="S995" i="34"/>
  <c r="T995" i="34"/>
  <c r="U995" i="34"/>
  <c r="W995" i="34"/>
  <c r="Y995" i="34"/>
  <c r="Z995" i="34"/>
  <c r="N996" i="34"/>
  <c r="R996" i="34"/>
  <c r="S996" i="34"/>
  <c r="T996" i="34"/>
  <c r="U996" i="34"/>
  <c r="W996" i="34"/>
  <c r="Y996" i="34"/>
  <c r="Z996" i="34"/>
  <c r="N997" i="34"/>
  <c r="R997" i="34"/>
  <c r="S997" i="34"/>
  <c r="T997" i="34"/>
  <c r="U997" i="34"/>
  <c r="W997" i="34"/>
  <c r="Y997" i="34"/>
  <c r="Z997" i="34"/>
  <c r="N998" i="34"/>
  <c r="R998" i="34"/>
  <c r="S998" i="34"/>
  <c r="T998" i="34"/>
  <c r="U998" i="34"/>
  <c r="W998" i="34"/>
  <c r="Y998" i="34"/>
  <c r="Z998" i="34"/>
  <c r="N999" i="34"/>
  <c r="R999" i="34"/>
  <c r="S999" i="34"/>
  <c r="T999" i="34"/>
  <c r="U999" i="34"/>
  <c r="W999" i="34"/>
  <c r="Y999" i="34"/>
  <c r="Z999" i="34"/>
  <c r="N1000" i="34"/>
  <c r="R1000" i="34"/>
  <c r="S1000" i="34"/>
  <c r="T1000" i="34"/>
  <c r="U1000" i="34"/>
  <c r="W1000" i="34"/>
  <c r="Y1000" i="34"/>
  <c r="Z1000" i="34"/>
  <c r="N1001" i="34"/>
  <c r="R1001" i="34"/>
  <c r="S1001" i="34"/>
  <c r="T1001" i="34"/>
  <c r="U1001" i="34"/>
  <c r="W1001" i="34"/>
  <c r="Y1001" i="34"/>
  <c r="Z1001" i="34"/>
  <c r="N1002" i="34"/>
  <c r="R1002" i="34"/>
  <c r="S1002" i="34"/>
  <c r="T1002" i="34"/>
  <c r="U1002" i="34"/>
  <c r="W1002" i="34"/>
  <c r="Y1002" i="34"/>
  <c r="Z1002" i="34"/>
  <c r="N1003" i="34"/>
  <c r="R1003" i="34"/>
  <c r="S1003" i="34"/>
  <c r="T1003" i="34"/>
  <c r="U1003" i="34"/>
  <c r="W1003" i="34"/>
  <c r="Y1003" i="34"/>
  <c r="Z1003" i="34"/>
  <c r="N1004" i="34"/>
  <c r="R1004" i="34"/>
  <c r="S1004" i="34"/>
  <c r="T1004" i="34"/>
  <c r="U1004" i="34"/>
  <c r="W1004" i="34"/>
  <c r="Y1004" i="34"/>
  <c r="Z1004" i="34"/>
  <c r="N1005" i="34"/>
  <c r="R1005" i="34"/>
  <c r="S1005" i="34"/>
  <c r="T1005" i="34"/>
  <c r="U1005" i="34"/>
  <c r="W1005" i="34"/>
  <c r="Y1005" i="34"/>
  <c r="Z1005" i="34"/>
  <c r="N1006" i="34"/>
  <c r="R1006" i="34"/>
  <c r="S1006" i="34"/>
  <c r="T1006" i="34"/>
  <c r="U1006" i="34"/>
  <c r="W1006" i="34"/>
  <c r="Y1006" i="34"/>
  <c r="Z1006" i="34"/>
  <c r="N1007" i="34"/>
  <c r="R1007" i="34"/>
  <c r="S1007" i="34"/>
  <c r="T1007" i="34"/>
  <c r="U1007" i="34"/>
  <c r="W1007" i="34"/>
  <c r="Y1007" i="34"/>
  <c r="Z1007" i="34"/>
  <c r="N1008" i="34"/>
  <c r="R1008" i="34"/>
  <c r="S1008" i="34"/>
  <c r="T1008" i="34"/>
  <c r="U1008" i="34"/>
  <c r="W1008" i="34"/>
  <c r="Y1008" i="34"/>
  <c r="Z1008" i="34"/>
  <c r="N1009" i="34"/>
  <c r="R1009" i="34"/>
  <c r="S1009" i="34"/>
  <c r="T1009" i="34"/>
  <c r="U1009" i="34"/>
  <c r="W1009" i="34"/>
  <c r="Y1009" i="34"/>
  <c r="Z1009" i="34"/>
  <c r="N1010" i="34"/>
  <c r="R1010" i="34"/>
  <c r="S1010" i="34"/>
  <c r="T1010" i="34"/>
  <c r="U1010" i="34"/>
  <c r="W1010" i="34"/>
  <c r="Y1010" i="34"/>
  <c r="Z1010" i="34"/>
  <c r="N1011" i="34"/>
  <c r="R1011" i="34"/>
  <c r="S1011" i="34"/>
  <c r="T1011" i="34"/>
  <c r="U1011" i="34"/>
  <c r="W1011" i="34"/>
  <c r="Y1011" i="34"/>
  <c r="Z1011" i="34"/>
  <c r="N1012" i="34"/>
  <c r="R1012" i="34"/>
  <c r="S1012" i="34"/>
  <c r="T1012" i="34"/>
  <c r="U1012" i="34"/>
  <c r="W1012" i="34"/>
  <c r="Y1012" i="34"/>
  <c r="Z1012" i="34"/>
  <c r="N1013" i="34"/>
  <c r="R1013" i="34"/>
  <c r="S1013" i="34"/>
  <c r="T1013" i="34"/>
  <c r="U1013" i="34"/>
  <c r="W1013" i="34"/>
  <c r="Y1013" i="34"/>
  <c r="Z1013" i="34"/>
  <c r="N1014" i="34"/>
  <c r="R1014" i="34"/>
  <c r="S1014" i="34"/>
  <c r="T1014" i="34"/>
  <c r="U1014" i="34"/>
  <c r="W1014" i="34"/>
  <c r="Y1014" i="34"/>
  <c r="Z1014" i="34"/>
  <c r="N1015" i="34"/>
  <c r="R1015" i="34"/>
  <c r="S1015" i="34"/>
  <c r="T1015" i="34"/>
  <c r="U1015" i="34"/>
  <c r="W1015" i="34"/>
  <c r="Y1015" i="34"/>
  <c r="Z1015" i="34"/>
  <c r="N1016" i="34"/>
  <c r="R1016" i="34"/>
  <c r="S1016" i="34"/>
  <c r="T1016" i="34"/>
  <c r="U1016" i="34"/>
  <c r="W1016" i="34"/>
  <c r="Y1016" i="34"/>
  <c r="Z1016" i="34"/>
  <c r="N1017" i="34"/>
  <c r="R1017" i="34"/>
  <c r="S1017" i="34"/>
  <c r="T1017" i="34"/>
  <c r="U1017" i="34"/>
  <c r="W1017" i="34"/>
  <c r="Y1017" i="34"/>
  <c r="Z1017" i="34"/>
  <c r="N1018" i="34"/>
  <c r="R1018" i="34"/>
  <c r="S1018" i="34"/>
  <c r="T1018" i="34"/>
  <c r="U1018" i="34"/>
  <c r="W1018" i="34"/>
  <c r="Y1018" i="34"/>
  <c r="Z1018" i="34"/>
  <c r="N1019" i="34"/>
  <c r="R1019" i="34"/>
  <c r="S1019" i="34"/>
  <c r="T1019" i="34"/>
  <c r="U1019" i="34"/>
  <c r="W1019" i="34"/>
  <c r="Y1019" i="34"/>
  <c r="Z1019" i="34"/>
  <c r="N1020" i="34"/>
  <c r="R1020" i="34"/>
  <c r="S1020" i="34"/>
  <c r="T1020" i="34"/>
  <c r="U1020" i="34"/>
  <c r="W1020" i="34"/>
  <c r="Y1020" i="34"/>
  <c r="Z1020" i="34"/>
  <c r="N1021" i="34"/>
  <c r="R1021" i="34"/>
  <c r="S1021" i="34"/>
  <c r="T1021" i="34"/>
  <c r="U1021" i="34"/>
  <c r="W1021" i="34"/>
  <c r="Y1021" i="34"/>
  <c r="Z1021" i="34"/>
  <c r="N1022" i="34"/>
  <c r="R1022" i="34"/>
  <c r="S1022" i="34"/>
  <c r="T1022" i="34"/>
  <c r="U1022" i="34"/>
  <c r="W1022" i="34"/>
  <c r="Y1022" i="34"/>
  <c r="Z1022" i="34"/>
  <c r="N1023" i="34"/>
  <c r="R1023" i="34"/>
  <c r="S1023" i="34"/>
  <c r="T1023" i="34"/>
  <c r="U1023" i="34"/>
  <c r="W1023" i="34"/>
  <c r="Y1023" i="34"/>
  <c r="Z1023" i="34"/>
  <c r="N1024" i="34"/>
  <c r="R1024" i="34"/>
  <c r="S1024" i="34"/>
  <c r="T1024" i="34"/>
  <c r="U1024" i="34"/>
  <c r="W1024" i="34"/>
  <c r="Y1024" i="34"/>
  <c r="Z1024" i="34"/>
  <c r="N1025" i="34"/>
  <c r="R1025" i="34"/>
  <c r="S1025" i="34"/>
  <c r="T1025" i="34"/>
  <c r="U1025" i="34"/>
  <c r="W1025" i="34"/>
  <c r="Y1025" i="34"/>
  <c r="Z1025" i="34"/>
  <c r="N1026" i="34"/>
  <c r="R1026" i="34"/>
  <c r="S1026" i="34"/>
  <c r="T1026" i="34"/>
  <c r="U1026" i="34"/>
  <c r="W1026" i="34"/>
  <c r="Y1026" i="34"/>
  <c r="Z1026" i="34"/>
  <c r="N1027" i="34"/>
  <c r="R1027" i="34"/>
  <c r="S1027" i="34"/>
  <c r="T1027" i="34"/>
  <c r="U1027" i="34"/>
  <c r="W1027" i="34"/>
  <c r="Y1027" i="34"/>
  <c r="Z1027" i="34"/>
  <c r="N1028" i="34"/>
  <c r="R1028" i="34"/>
  <c r="S1028" i="34"/>
  <c r="T1028" i="34"/>
  <c r="U1028" i="34"/>
  <c r="W1028" i="34"/>
  <c r="Y1028" i="34"/>
  <c r="Z1028" i="34"/>
  <c r="N1029" i="34"/>
  <c r="R1029" i="34"/>
  <c r="S1029" i="34"/>
  <c r="T1029" i="34"/>
  <c r="U1029" i="34"/>
  <c r="W1029" i="34"/>
  <c r="Y1029" i="34"/>
  <c r="Z1029" i="34"/>
  <c r="N1030" i="34"/>
  <c r="R1030" i="34"/>
  <c r="S1030" i="34"/>
  <c r="T1030" i="34"/>
  <c r="U1030" i="34"/>
  <c r="W1030" i="34"/>
  <c r="Y1030" i="34"/>
  <c r="Z1030" i="34"/>
  <c r="N1031" i="34"/>
  <c r="R1031" i="34"/>
  <c r="S1031" i="34"/>
  <c r="T1031" i="34"/>
  <c r="U1031" i="34"/>
  <c r="W1031" i="34"/>
  <c r="Y1031" i="34"/>
  <c r="Z1031" i="34"/>
  <c r="N1032" i="34"/>
  <c r="R1032" i="34"/>
  <c r="S1032" i="34"/>
  <c r="T1032" i="34"/>
  <c r="U1032" i="34"/>
  <c r="W1032" i="34"/>
  <c r="Y1032" i="34"/>
  <c r="Z1032" i="34"/>
  <c r="N1033" i="34"/>
  <c r="R1033" i="34"/>
  <c r="S1033" i="34"/>
  <c r="T1033" i="34"/>
  <c r="U1033" i="34"/>
  <c r="W1033" i="34"/>
  <c r="Y1033" i="34"/>
  <c r="Z1033" i="34"/>
  <c r="N1034" i="34"/>
  <c r="R1034" i="34"/>
  <c r="S1034" i="34"/>
  <c r="T1034" i="34"/>
  <c r="U1034" i="34"/>
  <c r="W1034" i="34"/>
  <c r="Y1034" i="34"/>
  <c r="Z1034" i="34"/>
  <c r="N1035" i="34"/>
  <c r="R1035" i="34"/>
  <c r="S1035" i="34"/>
  <c r="T1035" i="34"/>
  <c r="U1035" i="34"/>
  <c r="W1035" i="34"/>
  <c r="Y1035" i="34"/>
  <c r="Z1035" i="34"/>
  <c r="N1036" i="34"/>
  <c r="R1036" i="34"/>
  <c r="S1036" i="34"/>
  <c r="T1036" i="34"/>
  <c r="U1036" i="34"/>
  <c r="W1036" i="34"/>
  <c r="Y1036" i="34"/>
  <c r="Z1036" i="34"/>
  <c r="N1037" i="34"/>
  <c r="R1037" i="34"/>
  <c r="S1037" i="34"/>
  <c r="T1037" i="34"/>
  <c r="U1037" i="34"/>
  <c r="W1037" i="34"/>
  <c r="Y1037" i="34"/>
  <c r="Z1037" i="34"/>
  <c r="N1038" i="34"/>
  <c r="R1038" i="34"/>
  <c r="S1038" i="34"/>
  <c r="T1038" i="34"/>
  <c r="U1038" i="34"/>
  <c r="W1038" i="34"/>
  <c r="Y1038" i="34"/>
  <c r="Z1038" i="34"/>
  <c r="N1039" i="34"/>
  <c r="R1039" i="34"/>
  <c r="S1039" i="34"/>
  <c r="T1039" i="34"/>
  <c r="U1039" i="34"/>
  <c r="W1039" i="34"/>
  <c r="Y1039" i="34"/>
  <c r="Z1039" i="34"/>
  <c r="N1040" i="34"/>
  <c r="R1040" i="34"/>
  <c r="S1040" i="34"/>
  <c r="T1040" i="34"/>
  <c r="U1040" i="34"/>
  <c r="W1040" i="34"/>
  <c r="Y1040" i="34"/>
  <c r="Z1040" i="34"/>
  <c r="N1041" i="34"/>
  <c r="R1041" i="34"/>
  <c r="S1041" i="34"/>
  <c r="T1041" i="34"/>
  <c r="U1041" i="34"/>
  <c r="W1041" i="34"/>
  <c r="Y1041" i="34"/>
  <c r="Z1041" i="34"/>
  <c r="N1042" i="34"/>
  <c r="R1042" i="34"/>
  <c r="S1042" i="34"/>
  <c r="T1042" i="34"/>
  <c r="U1042" i="34"/>
  <c r="W1042" i="34"/>
  <c r="Y1042" i="34"/>
  <c r="Z1042" i="34"/>
  <c r="N1043" i="34"/>
  <c r="R1043" i="34"/>
  <c r="S1043" i="34"/>
  <c r="T1043" i="34"/>
  <c r="U1043" i="34"/>
  <c r="W1043" i="34"/>
  <c r="Y1043" i="34"/>
  <c r="Z1043" i="34"/>
  <c r="N1044" i="34"/>
  <c r="R1044" i="34"/>
  <c r="S1044" i="34"/>
  <c r="T1044" i="34"/>
  <c r="U1044" i="34"/>
  <c r="W1044" i="34"/>
  <c r="Y1044" i="34"/>
  <c r="Z1044" i="34"/>
  <c r="N1045" i="34"/>
  <c r="R1045" i="34"/>
  <c r="S1045" i="34"/>
  <c r="T1045" i="34"/>
  <c r="U1045" i="34"/>
  <c r="W1045" i="34"/>
  <c r="Y1045" i="34"/>
  <c r="Z1045" i="34"/>
  <c r="N1046" i="34"/>
  <c r="R1046" i="34"/>
  <c r="S1046" i="34"/>
  <c r="T1046" i="34"/>
  <c r="U1046" i="34"/>
  <c r="W1046" i="34"/>
  <c r="Y1046" i="34"/>
  <c r="Z1046" i="34"/>
  <c r="N1047" i="34"/>
  <c r="R1047" i="34"/>
  <c r="S1047" i="34"/>
  <c r="T1047" i="34"/>
  <c r="U1047" i="34"/>
  <c r="W1047" i="34"/>
  <c r="Y1047" i="34"/>
  <c r="Z1047" i="34"/>
  <c r="N1048" i="34"/>
  <c r="R1048" i="34"/>
  <c r="S1048" i="34"/>
  <c r="T1048" i="34"/>
  <c r="U1048" i="34"/>
  <c r="W1048" i="34"/>
  <c r="Y1048" i="34"/>
  <c r="Z1048" i="34"/>
  <c r="N1049" i="34"/>
  <c r="R1049" i="34"/>
  <c r="S1049" i="34"/>
  <c r="T1049" i="34"/>
  <c r="U1049" i="34"/>
  <c r="W1049" i="34"/>
  <c r="Y1049" i="34"/>
  <c r="Z1049" i="34"/>
  <c r="N1050" i="34"/>
  <c r="R1050" i="34"/>
  <c r="S1050" i="34"/>
  <c r="T1050" i="34"/>
  <c r="U1050" i="34"/>
  <c r="W1050" i="34"/>
  <c r="Y1050" i="34"/>
  <c r="Z1050" i="34"/>
  <c r="N1051" i="34"/>
  <c r="R1051" i="34"/>
  <c r="S1051" i="34"/>
  <c r="T1051" i="34"/>
  <c r="U1051" i="34"/>
  <c r="W1051" i="34"/>
  <c r="Y1051" i="34"/>
  <c r="Z1051" i="34"/>
  <c r="N1052" i="34"/>
  <c r="R1052" i="34"/>
  <c r="S1052" i="34"/>
  <c r="T1052" i="34"/>
  <c r="U1052" i="34"/>
  <c r="W1052" i="34"/>
  <c r="Y1052" i="34"/>
  <c r="Z1052" i="34"/>
  <c r="N1053" i="34"/>
  <c r="R1053" i="34"/>
  <c r="S1053" i="34"/>
  <c r="T1053" i="34"/>
  <c r="U1053" i="34"/>
  <c r="W1053" i="34"/>
  <c r="Y1053" i="34"/>
  <c r="Z1053" i="34"/>
  <c r="N1054" i="34"/>
  <c r="R1054" i="34"/>
  <c r="S1054" i="34"/>
  <c r="T1054" i="34"/>
  <c r="U1054" i="34"/>
  <c r="W1054" i="34"/>
  <c r="Y1054" i="34"/>
  <c r="Z1054" i="34"/>
  <c r="N1055" i="34"/>
  <c r="R1055" i="34"/>
  <c r="S1055" i="34"/>
  <c r="T1055" i="34"/>
  <c r="U1055" i="34"/>
  <c r="W1055" i="34"/>
  <c r="Y1055" i="34"/>
  <c r="Z1055" i="34"/>
  <c r="N1056" i="34"/>
  <c r="R1056" i="34"/>
  <c r="S1056" i="34"/>
  <c r="T1056" i="34"/>
  <c r="U1056" i="34"/>
  <c r="W1056" i="34"/>
  <c r="Y1056" i="34"/>
  <c r="Z1056" i="34"/>
  <c r="N1057" i="34"/>
  <c r="R1057" i="34"/>
  <c r="S1057" i="34"/>
  <c r="T1057" i="34"/>
  <c r="U1057" i="34"/>
  <c r="W1057" i="34"/>
  <c r="Y1057" i="34"/>
  <c r="Z1057" i="34"/>
  <c r="N1058" i="34"/>
  <c r="R1058" i="34"/>
  <c r="S1058" i="34"/>
  <c r="T1058" i="34"/>
  <c r="U1058" i="34"/>
  <c r="W1058" i="34"/>
  <c r="Y1058" i="34"/>
  <c r="Z1058" i="34"/>
  <c r="N1059" i="34"/>
  <c r="R1059" i="34"/>
  <c r="S1059" i="34"/>
  <c r="T1059" i="34"/>
  <c r="U1059" i="34"/>
  <c r="W1059" i="34"/>
  <c r="Y1059" i="34"/>
  <c r="Z1059" i="34"/>
  <c r="N1060" i="34"/>
  <c r="R1060" i="34"/>
  <c r="S1060" i="34"/>
  <c r="T1060" i="34"/>
  <c r="U1060" i="34"/>
  <c r="W1060" i="34"/>
  <c r="Y1060" i="34"/>
  <c r="Z1060" i="34"/>
  <c r="N1061" i="34"/>
  <c r="R1061" i="34"/>
  <c r="S1061" i="34"/>
  <c r="T1061" i="34"/>
  <c r="U1061" i="34"/>
  <c r="W1061" i="34"/>
  <c r="Y1061" i="34"/>
  <c r="Z1061" i="34"/>
  <c r="N1062" i="34"/>
  <c r="R1062" i="34"/>
  <c r="S1062" i="34"/>
  <c r="T1062" i="34"/>
  <c r="U1062" i="34"/>
  <c r="W1062" i="34"/>
  <c r="Y1062" i="34"/>
  <c r="Z1062" i="34"/>
  <c r="N1063" i="34"/>
  <c r="R1063" i="34"/>
  <c r="S1063" i="34"/>
  <c r="T1063" i="34"/>
  <c r="U1063" i="34"/>
  <c r="W1063" i="34"/>
  <c r="Y1063" i="34"/>
  <c r="Z1063" i="34"/>
  <c r="N1064" i="34"/>
  <c r="R1064" i="34"/>
  <c r="S1064" i="34"/>
  <c r="T1064" i="34"/>
  <c r="U1064" i="34"/>
  <c r="W1064" i="34"/>
  <c r="Y1064" i="34"/>
  <c r="Z1064" i="34"/>
  <c r="N1065" i="34"/>
  <c r="R1065" i="34"/>
  <c r="S1065" i="34"/>
  <c r="T1065" i="34"/>
  <c r="U1065" i="34"/>
  <c r="W1065" i="34"/>
  <c r="Y1065" i="34"/>
  <c r="Z1065" i="34"/>
  <c r="N1066" i="34"/>
  <c r="R1066" i="34"/>
  <c r="S1066" i="34"/>
  <c r="T1066" i="34"/>
  <c r="U1066" i="34"/>
  <c r="W1066" i="34"/>
  <c r="Y1066" i="34"/>
  <c r="Z1066" i="34"/>
  <c r="N1067" i="34"/>
  <c r="R1067" i="34"/>
  <c r="S1067" i="34"/>
  <c r="T1067" i="34"/>
  <c r="U1067" i="34"/>
  <c r="W1067" i="34"/>
  <c r="Y1067" i="34"/>
  <c r="Z1067" i="34"/>
  <c r="N1068" i="34"/>
  <c r="R1068" i="34"/>
  <c r="S1068" i="34"/>
  <c r="T1068" i="34"/>
  <c r="U1068" i="34"/>
  <c r="W1068" i="34"/>
  <c r="Y1068" i="34"/>
  <c r="Z1068" i="34"/>
  <c r="N1069" i="34"/>
  <c r="R1069" i="34"/>
  <c r="S1069" i="34"/>
  <c r="T1069" i="34"/>
  <c r="U1069" i="34"/>
  <c r="W1069" i="34"/>
  <c r="Y1069" i="34"/>
  <c r="Z1069" i="34"/>
  <c r="N1070" i="34"/>
  <c r="R1070" i="34"/>
  <c r="S1070" i="34"/>
  <c r="T1070" i="34"/>
  <c r="U1070" i="34"/>
  <c r="W1070" i="34"/>
  <c r="Y1070" i="34"/>
  <c r="Z1070" i="34"/>
  <c r="N1071" i="34"/>
  <c r="R1071" i="34"/>
  <c r="S1071" i="34"/>
  <c r="T1071" i="34"/>
  <c r="U1071" i="34"/>
  <c r="W1071" i="34"/>
  <c r="Y1071" i="34"/>
  <c r="Z1071" i="34"/>
  <c r="N1072" i="34"/>
  <c r="R1072" i="34"/>
  <c r="S1072" i="34"/>
  <c r="T1072" i="34"/>
  <c r="U1072" i="34"/>
  <c r="W1072" i="34"/>
  <c r="Y1072" i="34"/>
  <c r="Z1072" i="34"/>
  <c r="N1073" i="34"/>
  <c r="R1073" i="34"/>
  <c r="S1073" i="34"/>
  <c r="T1073" i="34"/>
  <c r="U1073" i="34"/>
  <c r="W1073" i="34"/>
  <c r="Y1073" i="34"/>
  <c r="Z1073" i="34"/>
  <c r="N1074" i="34"/>
  <c r="R1074" i="34"/>
  <c r="S1074" i="34"/>
  <c r="T1074" i="34"/>
  <c r="U1074" i="34"/>
  <c r="W1074" i="34"/>
  <c r="Y1074" i="34"/>
  <c r="Z1074" i="34"/>
  <c r="N1075" i="34"/>
  <c r="R1075" i="34"/>
  <c r="S1075" i="34"/>
  <c r="T1075" i="34"/>
  <c r="U1075" i="34"/>
  <c r="W1075" i="34"/>
  <c r="Y1075" i="34"/>
  <c r="Z1075" i="34"/>
  <c r="N1076" i="34"/>
  <c r="R1076" i="34"/>
  <c r="S1076" i="34"/>
  <c r="T1076" i="34"/>
  <c r="U1076" i="34"/>
  <c r="W1076" i="34"/>
  <c r="Y1076" i="34"/>
  <c r="Z1076" i="34"/>
  <c r="N1077" i="34"/>
  <c r="R1077" i="34"/>
  <c r="S1077" i="34"/>
  <c r="T1077" i="34"/>
  <c r="U1077" i="34"/>
  <c r="W1077" i="34"/>
  <c r="Y1077" i="34"/>
  <c r="Z1077" i="34"/>
  <c r="N1078" i="34"/>
  <c r="R1078" i="34"/>
  <c r="S1078" i="34"/>
  <c r="T1078" i="34"/>
  <c r="U1078" i="34"/>
  <c r="W1078" i="34"/>
  <c r="Y1078" i="34"/>
  <c r="Z1078" i="34"/>
  <c r="N1079" i="34"/>
  <c r="R1079" i="34"/>
  <c r="S1079" i="34"/>
  <c r="T1079" i="34"/>
  <c r="U1079" i="34"/>
  <c r="W1079" i="34"/>
  <c r="Y1079" i="34"/>
  <c r="Z1079" i="34"/>
  <c r="N1080" i="34"/>
  <c r="R1080" i="34"/>
  <c r="S1080" i="34"/>
  <c r="T1080" i="34"/>
  <c r="U1080" i="34"/>
  <c r="W1080" i="34"/>
  <c r="Y1080" i="34"/>
  <c r="Z1080" i="34"/>
  <c r="N1081" i="34"/>
  <c r="R1081" i="34"/>
  <c r="S1081" i="34"/>
  <c r="T1081" i="34"/>
  <c r="U1081" i="34"/>
  <c r="W1081" i="34"/>
  <c r="Y1081" i="34"/>
  <c r="Z1081" i="34"/>
  <c r="N1082" i="34"/>
  <c r="R1082" i="34"/>
  <c r="S1082" i="34"/>
  <c r="T1082" i="34"/>
  <c r="U1082" i="34"/>
  <c r="W1082" i="34"/>
  <c r="Y1082" i="34"/>
  <c r="Z1082" i="34"/>
  <c r="N1083" i="34"/>
  <c r="R1083" i="34"/>
  <c r="S1083" i="34"/>
  <c r="T1083" i="34"/>
  <c r="U1083" i="34"/>
  <c r="W1083" i="34"/>
  <c r="Y1083" i="34"/>
  <c r="Z1083" i="34"/>
  <c r="N1084" i="34"/>
  <c r="R1084" i="34"/>
  <c r="S1084" i="34"/>
  <c r="T1084" i="34"/>
  <c r="U1084" i="34"/>
  <c r="W1084" i="34"/>
  <c r="Y1084" i="34"/>
  <c r="Z1084" i="34"/>
  <c r="N1085" i="34"/>
  <c r="R1085" i="34"/>
  <c r="S1085" i="34"/>
  <c r="T1085" i="34"/>
  <c r="U1085" i="34"/>
  <c r="W1085" i="34"/>
  <c r="Y1085" i="34"/>
  <c r="Z1085" i="34"/>
  <c r="N1086" i="34"/>
  <c r="R1086" i="34"/>
  <c r="S1086" i="34"/>
  <c r="T1086" i="34"/>
  <c r="U1086" i="34"/>
  <c r="W1086" i="34"/>
  <c r="Y1086" i="34"/>
  <c r="Z1086" i="34"/>
  <c r="N1087" i="34"/>
  <c r="R1087" i="34"/>
  <c r="S1087" i="34"/>
  <c r="T1087" i="34"/>
  <c r="U1087" i="34"/>
  <c r="W1087" i="34"/>
  <c r="Y1087" i="34"/>
  <c r="Z1087" i="34"/>
  <c r="N1088" i="34"/>
  <c r="R1088" i="34"/>
  <c r="S1088" i="34"/>
  <c r="T1088" i="34"/>
  <c r="U1088" i="34"/>
  <c r="W1088" i="34"/>
  <c r="Y1088" i="34"/>
  <c r="Z1088" i="34"/>
  <c r="N1089" i="34"/>
  <c r="R1089" i="34"/>
  <c r="S1089" i="34"/>
  <c r="T1089" i="34"/>
  <c r="U1089" i="34"/>
  <c r="W1089" i="34"/>
  <c r="Y1089" i="34"/>
  <c r="Z1089" i="34"/>
  <c r="N1090" i="34"/>
  <c r="R1090" i="34"/>
  <c r="S1090" i="34"/>
  <c r="T1090" i="34"/>
  <c r="U1090" i="34"/>
  <c r="W1090" i="34"/>
  <c r="Y1090" i="34"/>
  <c r="Z1090" i="34"/>
  <c r="N1091" i="34"/>
  <c r="R1091" i="34"/>
  <c r="S1091" i="34"/>
  <c r="T1091" i="34"/>
  <c r="U1091" i="34"/>
  <c r="W1091" i="34"/>
  <c r="Y1091" i="34"/>
  <c r="Z1091" i="34"/>
  <c r="N1092" i="34"/>
  <c r="R1092" i="34"/>
  <c r="S1092" i="34"/>
  <c r="T1092" i="34"/>
  <c r="U1092" i="34"/>
  <c r="W1092" i="34"/>
  <c r="Y1092" i="34"/>
  <c r="Z1092" i="34"/>
  <c r="N1093" i="34"/>
  <c r="R1093" i="34"/>
  <c r="S1093" i="34"/>
  <c r="T1093" i="34"/>
  <c r="U1093" i="34"/>
  <c r="W1093" i="34"/>
  <c r="Y1093" i="34"/>
  <c r="Z1093" i="34"/>
  <c r="N1094" i="34"/>
  <c r="R1094" i="34"/>
  <c r="S1094" i="34"/>
  <c r="T1094" i="34"/>
  <c r="U1094" i="34"/>
  <c r="W1094" i="34"/>
  <c r="Y1094" i="34"/>
  <c r="Z1094" i="34"/>
  <c r="N1095" i="34"/>
  <c r="R1095" i="34"/>
  <c r="S1095" i="34"/>
  <c r="T1095" i="34"/>
  <c r="U1095" i="34"/>
  <c r="W1095" i="34"/>
  <c r="Y1095" i="34"/>
  <c r="Z1095" i="34"/>
  <c r="N1096" i="34"/>
  <c r="R1096" i="34"/>
  <c r="S1096" i="34"/>
  <c r="T1096" i="34"/>
  <c r="U1096" i="34"/>
  <c r="W1096" i="34"/>
  <c r="Y1096" i="34"/>
  <c r="Z1096" i="34"/>
  <c r="N1097" i="34"/>
  <c r="R1097" i="34"/>
  <c r="S1097" i="34"/>
  <c r="T1097" i="34"/>
  <c r="U1097" i="34"/>
  <c r="W1097" i="34"/>
  <c r="Y1097" i="34"/>
  <c r="Z1097" i="34"/>
  <c r="N1098" i="34"/>
  <c r="R1098" i="34"/>
  <c r="S1098" i="34"/>
  <c r="T1098" i="34"/>
  <c r="U1098" i="34"/>
  <c r="W1098" i="34"/>
  <c r="Y1098" i="34"/>
  <c r="Z1098" i="34"/>
  <c r="N1099" i="34"/>
  <c r="R1099" i="34"/>
  <c r="S1099" i="34"/>
  <c r="T1099" i="34"/>
  <c r="U1099" i="34"/>
  <c r="W1099" i="34"/>
  <c r="Y1099" i="34"/>
  <c r="Z1099" i="34"/>
  <c r="N1100" i="34"/>
  <c r="R1100" i="34"/>
  <c r="S1100" i="34"/>
  <c r="T1100" i="34"/>
  <c r="U1100" i="34"/>
  <c r="W1100" i="34"/>
  <c r="Y1100" i="34"/>
  <c r="Z1100" i="34"/>
  <c r="N1101" i="34"/>
  <c r="R1101" i="34"/>
  <c r="S1101" i="34"/>
  <c r="T1101" i="34"/>
  <c r="U1101" i="34"/>
  <c r="W1101" i="34"/>
  <c r="Y1101" i="34"/>
  <c r="Z1101" i="34"/>
  <c r="N1102" i="34"/>
  <c r="R1102" i="34"/>
  <c r="S1102" i="34"/>
  <c r="T1102" i="34"/>
  <c r="U1102" i="34"/>
  <c r="W1102" i="34"/>
  <c r="Y1102" i="34"/>
  <c r="Z1102" i="34"/>
  <c r="N1103" i="34"/>
  <c r="R1103" i="34"/>
  <c r="S1103" i="34"/>
  <c r="T1103" i="34"/>
  <c r="U1103" i="34"/>
  <c r="W1103" i="34"/>
  <c r="Y1103" i="34"/>
  <c r="Z1103" i="34"/>
  <c r="N1104" i="34"/>
  <c r="R1104" i="34"/>
  <c r="S1104" i="34"/>
  <c r="T1104" i="34"/>
  <c r="U1104" i="34"/>
  <c r="W1104" i="34"/>
  <c r="Y1104" i="34"/>
  <c r="Z1104" i="34"/>
  <c r="N1105" i="34"/>
  <c r="R1105" i="34"/>
  <c r="S1105" i="34"/>
  <c r="T1105" i="34"/>
  <c r="U1105" i="34"/>
  <c r="W1105" i="34"/>
  <c r="Y1105" i="34"/>
  <c r="Z1105" i="34"/>
  <c r="N1106" i="34"/>
  <c r="R1106" i="34"/>
  <c r="S1106" i="34"/>
  <c r="T1106" i="34"/>
  <c r="U1106" i="34"/>
  <c r="W1106" i="34"/>
  <c r="Y1106" i="34"/>
  <c r="Z1106" i="34"/>
  <c r="N1107" i="34"/>
  <c r="R1107" i="34"/>
  <c r="S1107" i="34"/>
  <c r="T1107" i="34"/>
  <c r="U1107" i="34"/>
  <c r="W1107" i="34"/>
  <c r="Y1107" i="34"/>
  <c r="Z1107" i="34"/>
  <c r="N1108" i="34"/>
  <c r="R1108" i="34"/>
  <c r="S1108" i="34"/>
  <c r="T1108" i="34"/>
  <c r="U1108" i="34"/>
  <c r="W1108" i="34"/>
  <c r="Y1108" i="34"/>
  <c r="Z1108" i="34"/>
  <c r="N1109" i="34"/>
  <c r="R1109" i="34"/>
  <c r="S1109" i="34"/>
  <c r="T1109" i="34"/>
  <c r="U1109" i="34"/>
  <c r="W1109" i="34"/>
  <c r="Y1109" i="34"/>
  <c r="Z1109" i="34"/>
  <c r="N1110" i="34"/>
  <c r="R1110" i="34"/>
  <c r="S1110" i="34"/>
  <c r="T1110" i="34"/>
  <c r="U1110" i="34"/>
  <c r="W1110" i="34"/>
  <c r="Y1110" i="34"/>
  <c r="Z1110" i="34"/>
  <c r="N1111" i="34"/>
  <c r="R1111" i="34"/>
  <c r="S1111" i="34"/>
  <c r="T1111" i="34"/>
  <c r="U1111" i="34"/>
  <c r="W1111" i="34"/>
  <c r="Y1111" i="34"/>
  <c r="Z1111" i="34"/>
  <c r="N1112" i="34"/>
  <c r="R1112" i="34"/>
  <c r="S1112" i="34"/>
  <c r="T1112" i="34"/>
  <c r="U1112" i="34"/>
  <c r="W1112" i="34"/>
  <c r="Y1112" i="34"/>
  <c r="Z1112" i="34"/>
  <c r="N1113" i="34"/>
  <c r="R1113" i="34"/>
  <c r="S1113" i="34"/>
  <c r="T1113" i="34"/>
  <c r="U1113" i="34"/>
  <c r="W1113" i="34"/>
  <c r="Y1113" i="34"/>
  <c r="Z1113" i="34"/>
  <c r="N1114" i="34"/>
  <c r="R1114" i="34"/>
  <c r="S1114" i="34"/>
  <c r="T1114" i="34"/>
  <c r="U1114" i="34"/>
  <c r="W1114" i="34"/>
  <c r="Y1114" i="34"/>
  <c r="Z1114" i="34"/>
  <c r="N1115" i="34"/>
  <c r="R1115" i="34"/>
  <c r="S1115" i="34"/>
  <c r="T1115" i="34"/>
  <c r="U1115" i="34"/>
  <c r="W1115" i="34"/>
  <c r="Y1115" i="34"/>
  <c r="Z1115" i="34"/>
  <c r="N1116" i="34"/>
  <c r="R1116" i="34"/>
  <c r="S1116" i="34"/>
  <c r="T1116" i="34"/>
  <c r="U1116" i="34"/>
  <c r="W1116" i="34"/>
  <c r="Y1116" i="34"/>
  <c r="Z1116" i="34"/>
  <c r="N1117" i="34"/>
  <c r="R1117" i="34"/>
  <c r="S1117" i="34"/>
  <c r="T1117" i="34"/>
  <c r="U1117" i="34"/>
  <c r="W1117" i="34"/>
  <c r="Y1117" i="34"/>
  <c r="Z1117" i="34"/>
  <c r="N1118" i="34"/>
  <c r="R1118" i="34"/>
  <c r="S1118" i="34"/>
  <c r="T1118" i="34"/>
  <c r="U1118" i="34"/>
  <c r="W1118" i="34"/>
  <c r="Y1118" i="34"/>
  <c r="Z1118" i="34"/>
  <c r="N1119" i="34"/>
  <c r="R1119" i="34"/>
  <c r="S1119" i="34"/>
  <c r="T1119" i="34"/>
  <c r="U1119" i="34"/>
  <c r="W1119" i="34"/>
  <c r="Y1119" i="34"/>
  <c r="Z1119" i="34"/>
  <c r="N1120" i="34"/>
  <c r="R1120" i="34"/>
  <c r="S1120" i="34"/>
  <c r="T1120" i="34"/>
  <c r="U1120" i="34"/>
  <c r="W1120" i="34"/>
  <c r="Y1120" i="34"/>
  <c r="Z1120" i="34"/>
  <c r="N1121" i="34"/>
  <c r="R1121" i="34"/>
  <c r="S1121" i="34"/>
  <c r="T1121" i="34"/>
  <c r="U1121" i="34"/>
  <c r="W1121" i="34"/>
  <c r="Y1121" i="34"/>
  <c r="Z1121" i="34"/>
  <c r="N1122" i="34"/>
  <c r="R1122" i="34"/>
  <c r="S1122" i="34"/>
  <c r="T1122" i="34"/>
  <c r="U1122" i="34"/>
  <c r="W1122" i="34"/>
  <c r="Y1122" i="34"/>
  <c r="Z1122" i="34"/>
  <c r="N1123" i="34"/>
  <c r="R1123" i="34"/>
  <c r="S1123" i="34"/>
  <c r="T1123" i="34"/>
  <c r="U1123" i="34"/>
  <c r="W1123" i="34"/>
  <c r="Y1123" i="34"/>
  <c r="Z1123" i="34"/>
  <c r="N1124" i="34"/>
  <c r="R1124" i="34"/>
  <c r="S1124" i="34"/>
  <c r="T1124" i="34"/>
  <c r="U1124" i="34"/>
  <c r="W1124" i="34"/>
  <c r="Y1124" i="34"/>
  <c r="Z1124" i="34"/>
  <c r="N1125" i="34"/>
  <c r="R1125" i="34"/>
  <c r="S1125" i="34"/>
  <c r="T1125" i="34"/>
  <c r="U1125" i="34"/>
  <c r="W1125" i="34"/>
  <c r="Y1125" i="34"/>
  <c r="Z1125" i="34"/>
  <c r="N1126" i="34"/>
  <c r="R1126" i="34"/>
  <c r="S1126" i="34"/>
  <c r="T1126" i="34"/>
  <c r="U1126" i="34"/>
  <c r="W1126" i="34"/>
  <c r="Y1126" i="34"/>
  <c r="Z1126" i="34"/>
  <c r="N1127" i="34"/>
  <c r="R1127" i="34"/>
  <c r="S1127" i="34"/>
  <c r="T1127" i="34"/>
  <c r="U1127" i="34"/>
  <c r="W1127" i="34"/>
  <c r="Y1127" i="34"/>
  <c r="Z1127" i="34"/>
  <c r="N1128" i="34"/>
  <c r="R1128" i="34"/>
  <c r="S1128" i="34"/>
  <c r="T1128" i="34"/>
  <c r="U1128" i="34"/>
  <c r="W1128" i="34"/>
  <c r="Y1128" i="34"/>
  <c r="Z1128" i="34"/>
  <c r="N1129" i="34"/>
  <c r="R1129" i="34"/>
  <c r="S1129" i="34"/>
  <c r="T1129" i="34"/>
  <c r="U1129" i="34"/>
  <c r="W1129" i="34"/>
  <c r="Y1129" i="34"/>
  <c r="Z1129" i="34"/>
  <c r="N1130" i="34"/>
  <c r="R1130" i="34"/>
  <c r="S1130" i="34"/>
  <c r="T1130" i="34"/>
  <c r="U1130" i="34"/>
  <c r="W1130" i="34"/>
  <c r="Y1130" i="34"/>
  <c r="Z1130" i="34"/>
  <c r="N1131" i="34"/>
  <c r="R1131" i="34"/>
  <c r="S1131" i="34"/>
  <c r="T1131" i="34"/>
  <c r="U1131" i="34"/>
  <c r="W1131" i="34"/>
  <c r="Y1131" i="34"/>
  <c r="Z1131" i="34"/>
  <c r="N1132" i="34"/>
  <c r="R1132" i="34"/>
  <c r="S1132" i="34"/>
  <c r="T1132" i="34"/>
  <c r="U1132" i="34"/>
  <c r="W1132" i="34"/>
  <c r="Y1132" i="34"/>
  <c r="Z1132" i="34"/>
  <c r="N1133" i="34"/>
  <c r="R1133" i="34"/>
  <c r="S1133" i="34"/>
  <c r="T1133" i="34"/>
  <c r="U1133" i="34"/>
  <c r="W1133" i="34"/>
  <c r="Y1133" i="34"/>
  <c r="Z1133" i="34"/>
  <c r="N1134" i="34"/>
  <c r="R1134" i="34"/>
  <c r="S1134" i="34"/>
  <c r="T1134" i="34"/>
  <c r="U1134" i="34"/>
  <c r="W1134" i="34"/>
  <c r="Y1134" i="34"/>
  <c r="Z1134" i="34"/>
  <c r="N1135" i="34"/>
  <c r="R1135" i="34"/>
  <c r="S1135" i="34"/>
  <c r="T1135" i="34"/>
  <c r="U1135" i="34"/>
  <c r="W1135" i="34"/>
  <c r="Y1135" i="34"/>
  <c r="Z1135" i="34"/>
  <c r="N1136" i="34"/>
  <c r="R1136" i="34"/>
  <c r="S1136" i="34"/>
  <c r="T1136" i="34"/>
  <c r="U1136" i="34"/>
  <c r="W1136" i="34"/>
  <c r="Y1136" i="34"/>
  <c r="Z1136" i="34"/>
  <c r="N1137" i="34"/>
  <c r="R1137" i="34"/>
  <c r="S1137" i="34"/>
  <c r="T1137" i="34"/>
  <c r="U1137" i="34"/>
  <c r="W1137" i="34"/>
  <c r="Y1137" i="34"/>
  <c r="Z1137" i="34"/>
  <c r="N1138" i="34"/>
  <c r="R1138" i="34"/>
  <c r="S1138" i="34"/>
  <c r="T1138" i="34"/>
  <c r="U1138" i="34"/>
  <c r="W1138" i="34"/>
  <c r="Y1138" i="34"/>
  <c r="Z1138" i="34"/>
  <c r="N1139" i="34"/>
  <c r="R1139" i="34"/>
  <c r="S1139" i="34"/>
  <c r="T1139" i="34"/>
  <c r="U1139" i="34"/>
  <c r="W1139" i="34"/>
  <c r="Y1139" i="34"/>
  <c r="Z1139" i="34"/>
  <c r="N1140" i="34"/>
  <c r="R1140" i="34"/>
  <c r="S1140" i="34"/>
  <c r="T1140" i="34"/>
  <c r="U1140" i="34"/>
  <c r="W1140" i="34"/>
  <c r="Y1140" i="34"/>
  <c r="Z1140" i="34"/>
  <c r="N1141" i="34"/>
  <c r="R1141" i="34"/>
  <c r="S1141" i="34"/>
  <c r="T1141" i="34"/>
  <c r="U1141" i="34"/>
  <c r="W1141" i="34"/>
  <c r="Y1141" i="34"/>
  <c r="Z1141" i="34"/>
  <c r="N1142" i="34"/>
  <c r="R1142" i="34"/>
  <c r="S1142" i="34"/>
  <c r="T1142" i="34"/>
  <c r="U1142" i="34"/>
  <c r="W1142" i="34"/>
  <c r="Y1142" i="34"/>
  <c r="Z1142" i="34"/>
  <c r="N1143" i="34"/>
  <c r="R1143" i="34"/>
  <c r="S1143" i="34"/>
  <c r="T1143" i="34"/>
  <c r="U1143" i="34"/>
  <c r="W1143" i="34"/>
  <c r="Y1143" i="34"/>
  <c r="Z1143" i="34"/>
  <c r="N1144" i="34"/>
  <c r="R1144" i="34"/>
  <c r="S1144" i="34"/>
  <c r="T1144" i="34"/>
  <c r="U1144" i="34"/>
  <c r="W1144" i="34"/>
  <c r="Y1144" i="34"/>
  <c r="Z1144" i="34"/>
  <c r="N1145" i="34"/>
  <c r="R1145" i="34"/>
  <c r="S1145" i="34"/>
  <c r="T1145" i="34"/>
  <c r="U1145" i="34"/>
  <c r="W1145" i="34"/>
  <c r="Y1145" i="34"/>
  <c r="Z1145" i="34"/>
  <c r="N1146" i="34"/>
  <c r="R1146" i="34"/>
  <c r="S1146" i="34"/>
  <c r="T1146" i="34"/>
  <c r="U1146" i="34"/>
  <c r="W1146" i="34"/>
  <c r="Y1146" i="34"/>
  <c r="Z1146" i="34"/>
  <c r="N1147" i="34"/>
  <c r="R1147" i="34"/>
  <c r="S1147" i="34"/>
  <c r="T1147" i="34"/>
  <c r="U1147" i="34"/>
  <c r="W1147" i="34"/>
  <c r="Y1147" i="34"/>
  <c r="Z1147" i="34"/>
  <c r="N1148" i="34"/>
  <c r="R1148" i="34"/>
  <c r="S1148" i="34"/>
  <c r="T1148" i="34"/>
  <c r="U1148" i="34"/>
  <c r="W1148" i="34"/>
  <c r="Y1148" i="34"/>
  <c r="Z1148" i="34"/>
  <c r="N1149" i="34"/>
  <c r="R1149" i="34"/>
  <c r="S1149" i="34"/>
  <c r="T1149" i="34"/>
  <c r="U1149" i="34"/>
  <c r="W1149" i="34"/>
  <c r="Y1149" i="34"/>
  <c r="Z1149" i="34"/>
  <c r="N1150" i="34"/>
  <c r="R1150" i="34"/>
  <c r="S1150" i="34"/>
  <c r="T1150" i="34"/>
  <c r="U1150" i="34"/>
  <c r="W1150" i="34"/>
  <c r="Y1150" i="34"/>
  <c r="Z1150" i="34"/>
  <c r="N1151" i="34"/>
  <c r="R1151" i="34"/>
  <c r="S1151" i="34"/>
  <c r="T1151" i="34"/>
  <c r="U1151" i="34"/>
  <c r="W1151" i="34"/>
  <c r="Y1151" i="34"/>
  <c r="Z1151" i="34"/>
  <c r="N1152" i="34"/>
  <c r="R1152" i="34"/>
  <c r="S1152" i="34"/>
  <c r="T1152" i="34"/>
  <c r="U1152" i="34"/>
  <c r="W1152" i="34"/>
  <c r="Y1152" i="34"/>
  <c r="Z1152" i="34"/>
  <c r="N1153" i="34"/>
  <c r="R1153" i="34"/>
  <c r="S1153" i="34"/>
  <c r="T1153" i="34"/>
  <c r="U1153" i="34"/>
  <c r="W1153" i="34"/>
  <c r="Y1153" i="34"/>
  <c r="Z1153" i="34"/>
  <c r="N1154" i="34"/>
  <c r="R1154" i="34"/>
  <c r="S1154" i="34"/>
  <c r="T1154" i="34"/>
  <c r="U1154" i="34"/>
  <c r="W1154" i="34"/>
  <c r="Y1154" i="34"/>
  <c r="Z1154" i="34"/>
  <c r="N1155" i="34"/>
  <c r="R1155" i="34"/>
  <c r="S1155" i="34"/>
  <c r="T1155" i="34"/>
  <c r="U1155" i="34"/>
  <c r="W1155" i="34"/>
  <c r="Y1155" i="34"/>
  <c r="Z1155" i="34"/>
  <c r="N1156" i="34"/>
  <c r="R1156" i="34"/>
  <c r="S1156" i="34"/>
  <c r="T1156" i="34"/>
  <c r="U1156" i="34"/>
  <c r="W1156" i="34"/>
  <c r="Y1156" i="34"/>
  <c r="Z1156" i="34"/>
  <c r="N1157" i="34"/>
  <c r="R1157" i="34"/>
  <c r="S1157" i="34"/>
  <c r="T1157" i="34"/>
  <c r="U1157" i="34"/>
  <c r="W1157" i="34"/>
  <c r="Y1157" i="34"/>
  <c r="Z1157" i="34"/>
  <c r="N1158" i="34"/>
  <c r="R1158" i="34"/>
  <c r="S1158" i="34"/>
  <c r="T1158" i="34"/>
  <c r="U1158" i="34"/>
  <c r="W1158" i="34"/>
  <c r="Y1158" i="34"/>
  <c r="Z1158" i="34"/>
  <c r="N1159" i="34"/>
  <c r="R1159" i="34"/>
  <c r="S1159" i="34"/>
  <c r="T1159" i="34"/>
  <c r="U1159" i="34"/>
  <c r="W1159" i="34"/>
  <c r="Y1159" i="34"/>
  <c r="Z1159" i="34"/>
  <c r="N1160" i="34"/>
  <c r="R1160" i="34"/>
  <c r="S1160" i="34"/>
  <c r="T1160" i="34"/>
  <c r="U1160" i="34"/>
  <c r="W1160" i="34"/>
  <c r="Y1160" i="34"/>
  <c r="Z1160" i="34"/>
  <c r="N1161" i="34"/>
  <c r="R1161" i="34"/>
  <c r="S1161" i="34"/>
  <c r="T1161" i="34"/>
  <c r="U1161" i="34"/>
  <c r="W1161" i="34"/>
  <c r="Y1161" i="34"/>
  <c r="Z1161" i="34"/>
  <c r="N1162" i="34"/>
  <c r="R1162" i="34"/>
  <c r="S1162" i="34"/>
  <c r="T1162" i="34"/>
  <c r="U1162" i="34"/>
  <c r="W1162" i="34"/>
  <c r="Y1162" i="34"/>
  <c r="Z1162" i="34"/>
  <c r="N1163" i="34"/>
  <c r="R1163" i="34"/>
  <c r="S1163" i="34"/>
  <c r="T1163" i="34"/>
  <c r="U1163" i="34"/>
  <c r="W1163" i="34"/>
  <c r="Y1163" i="34"/>
  <c r="Z1163" i="34"/>
  <c r="N1164" i="34"/>
  <c r="R1164" i="34"/>
  <c r="S1164" i="34"/>
  <c r="T1164" i="34"/>
  <c r="U1164" i="34"/>
  <c r="W1164" i="34"/>
  <c r="Y1164" i="34"/>
  <c r="Z1164" i="34"/>
  <c r="N1165" i="34"/>
  <c r="R1165" i="34"/>
  <c r="S1165" i="34"/>
  <c r="T1165" i="34"/>
  <c r="U1165" i="34"/>
  <c r="W1165" i="34"/>
  <c r="Y1165" i="34"/>
  <c r="Z1165" i="34"/>
  <c r="N1166" i="34"/>
  <c r="R1166" i="34"/>
  <c r="S1166" i="34"/>
  <c r="T1166" i="34"/>
  <c r="U1166" i="34"/>
  <c r="W1166" i="34"/>
  <c r="Y1166" i="34"/>
  <c r="Z1166" i="34"/>
  <c r="N1167" i="34"/>
  <c r="R1167" i="34"/>
  <c r="S1167" i="34"/>
  <c r="T1167" i="34"/>
  <c r="U1167" i="34"/>
  <c r="W1167" i="34"/>
  <c r="Y1167" i="34"/>
  <c r="Z1167" i="34"/>
  <c r="N1168" i="34"/>
  <c r="R1168" i="34"/>
  <c r="S1168" i="34"/>
  <c r="T1168" i="34"/>
  <c r="U1168" i="34"/>
  <c r="W1168" i="34"/>
  <c r="Y1168" i="34"/>
  <c r="Z1168" i="34"/>
  <c r="N1169" i="34"/>
  <c r="R1169" i="34"/>
  <c r="S1169" i="34"/>
  <c r="T1169" i="34"/>
  <c r="U1169" i="34"/>
  <c r="W1169" i="34"/>
  <c r="Y1169" i="34"/>
  <c r="Z1169" i="34"/>
  <c r="N1170" i="34"/>
  <c r="R1170" i="34"/>
  <c r="S1170" i="34"/>
  <c r="T1170" i="34"/>
  <c r="U1170" i="34"/>
  <c r="W1170" i="34"/>
  <c r="Y1170" i="34"/>
  <c r="Z1170" i="34"/>
  <c r="N1171" i="34"/>
  <c r="R1171" i="34"/>
  <c r="S1171" i="34"/>
  <c r="T1171" i="34"/>
  <c r="U1171" i="34"/>
  <c r="W1171" i="34"/>
  <c r="Y1171" i="34"/>
  <c r="Z1171" i="34"/>
  <c r="N1172" i="34"/>
  <c r="R1172" i="34"/>
  <c r="S1172" i="34"/>
  <c r="T1172" i="34"/>
  <c r="U1172" i="34"/>
  <c r="W1172" i="34"/>
  <c r="Y1172" i="34"/>
  <c r="Z1172" i="34"/>
  <c r="N1173" i="34"/>
  <c r="R1173" i="34"/>
  <c r="S1173" i="34"/>
  <c r="T1173" i="34"/>
  <c r="U1173" i="34"/>
  <c r="W1173" i="34"/>
  <c r="Y1173" i="34"/>
  <c r="Z1173" i="34"/>
  <c r="N1174" i="34"/>
  <c r="R1174" i="34"/>
  <c r="S1174" i="34"/>
  <c r="T1174" i="34"/>
  <c r="U1174" i="34"/>
  <c r="W1174" i="34"/>
  <c r="Y1174" i="34"/>
  <c r="Z1174" i="34"/>
  <c r="N1175" i="34"/>
  <c r="R1175" i="34"/>
  <c r="S1175" i="34"/>
  <c r="T1175" i="34"/>
  <c r="U1175" i="34"/>
  <c r="W1175" i="34"/>
  <c r="Y1175" i="34"/>
  <c r="Z1175" i="34"/>
  <c r="N1176" i="34"/>
  <c r="R1176" i="34"/>
  <c r="S1176" i="34"/>
  <c r="T1176" i="34"/>
  <c r="U1176" i="34"/>
  <c r="W1176" i="34"/>
  <c r="Y1176" i="34"/>
  <c r="Z1176" i="34"/>
  <c r="N1177" i="34"/>
  <c r="R1177" i="34"/>
  <c r="S1177" i="34"/>
  <c r="T1177" i="34"/>
  <c r="U1177" i="34"/>
  <c r="W1177" i="34"/>
  <c r="Y1177" i="34"/>
  <c r="Z1177" i="34"/>
  <c r="N1178" i="34"/>
  <c r="R1178" i="34"/>
  <c r="S1178" i="34"/>
  <c r="T1178" i="34"/>
  <c r="U1178" i="34"/>
  <c r="W1178" i="34"/>
  <c r="Y1178" i="34"/>
  <c r="Z1178" i="34"/>
  <c r="N1179" i="34"/>
  <c r="R1179" i="34"/>
  <c r="S1179" i="34"/>
  <c r="T1179" i="34"/>
  <c r="U1179" i="34"/>
  <c r="W1179" i="34"/>
  <c r="Y1179" i="34"/>
  <c r="Z1179" i="34"/>
  <c r="N1180" i="34"/>
  <c r="R1180" i="34"/>
  <c r="S1180" i="34"/>
  <c r="T1180" i="34"/>
  <c r="U1180" i="34"/>
  <c r="W1180" i="34"/>
  <c r="Y1180" i="34"/>
  <c r="Z1180" i="34"/>
  <c r="N1181" i="34"/>
  <c r="R1181" i="34"/>
  <c r="S1181" i="34"/>
  <c r="T1181" i="34"/>
  <c r="U1181" i="34"/>
  <c r="W1181" i="34"/>
  <c r="Y1181" i="34"/>
  <c r="Z1181" i="34"/>
  <c r="N1182" i="34"/>
  <c r="R1182" i="34"/>
  <c r="S1182" i="34"/>
  <c r="T1182" i="34"/>
  <c r="U1182" i="34"/>
  <c r="W1182" i="34"/>
  <c r="Y1182" i="34"/>
  <c r="Z1182" i="34"/>
  <c r="N1183" i="34"/>
  <c r="R1183" i="34"/>
  <c r="S1183" i="34"/>
  <c r="T1183" i="34"/>
  <c r="U1183" i="34"/>
  <c r="W1183" i="34"/>
  <c r="Y1183" i="34"/>
  <c r="Z1183" i="34"/>
  <c r="N1184" i="34"/>
  <c r="R1184" i="34"/>
  <c r="S1184" i="34"/>
  <c r="T1184" i="34"/>
  <c r="U1184" i="34"/>
  <c r="W1184" i="34"/>
  <c r="Y1184" i="34"/>
  <c r="Z1184" i="34"/>
  <c r="N1185" i="34"/>
  <c r="R1185" i="34"/>
  <c r="S1185" i="34"/>
  <c r="T1185" i="34"/>
  <c r="U1185" i="34"/>
  <c r="W1185" i="34"/>
  <c r="Y1185" i="34"/>
  <c r="Z1185" i="34"/>
  <c r="N1186" i="34"/>
  <c r="R1186" i="34"/>
  <c r="S1186" i="34"/>
  <c r="T1186" i="34"/>
  <c r="U1186" i="34"/>
  <c r="W1186" i="34"/>
  <c r="Y1186" i="34"/>
  <c r="Z1186" i="34"/>
  <c r="N1187" i="34"/>
  <c r="R1187" i="34"/>
  <c r="S1187" i="34"/>
  <c r="T1187" i="34"/>
  <c r="U1187" i="34"/>
  <c r="W1187" i="34"/>
  <c r="Y1187" i="34"/>
  <c r="Z1187" i="34"/>
  <c r="N1188" i="34"/>
  <c r="R1188" i="34"/>
  <c r="S1188" i="34"/>
  <c r="T1188" i="34"/>
  <c r="U1188" i="34"/>
  <c r="W1188" i="34"/>
  <c r="Y1188" i="34"/>
  <c r="Z1188" i="34"/>
  <c r="N1189" i="34"/>
  <c r="R1189" i="34"/>
  <c r="S1189" i="34"/>
  <c r="T1189" i="34"/>
  <c r="U1189" i="34"/>
  <c r="W1189" i="34"/>
  <c r="Y1189" i="34"/>
  <c r="Z1189" i="34"/>
  <c r="N1190" i="34"/>
  <c r="R1190" i="34"/>
  <c r="S1190" i="34"/>
  <c r="T1190" i="34"/>
  <c r="U1190" i="34"/>
  <c r="W1190" i="34"/>
  <c r="Y1190" i="34"/>
  <c r="Z1190" i="34"/>
  <c r="N1191" i="34"/>
  <c r="R1191" i="34"/>
  <c r="S1191" i="34"/>
  <c r="T1191" i="34"/>
  <c r="U1191" i="34"/>
  <c r="W1191" i="34"/>
  <c r="Y1191" i="34"/>
  <c r="Z1191" i="34"/>
  <c r="N1192" i="34"/>
  <c r="R1192" i="34"/>
  <c r="S1192" i="34"/>
  <c r="T1192" i="34"/>
  <c r="U1192" i="34"/>
  <c r="W1192" i="34"/>
  <c r="Y1192" i="34"/>
  <c r="Z1192" i="34"/>
  <c r="N1193" i="34"/>
  <c r="R1193" i="34"/>
  <c r="S1193" i="34"/>
  <c r="T1193" i="34"/>
  <c r="U1193" i="34"/>
  <c r="W1193" i="34"/>
  <c r="Y1193" i="34"/>
  <c r="Z1193" i="34"/>
  <c r="N1194" i="34"/>
  <c r="R1194" i="34"/>
  <c r="S1194" i="34"/>
  <c r="T1194" i="34"/>
  <c r="U1194" i="34"/>
  <c r="W1194" i="34"/>
  <c r="Y1194" i="34"/>
  <c r="Z1194" i="34"/>
  <c r="N1195" i="34"/>
  <c r="R1195" i="34"/>
  <c r="S1195" i="34"/>
  <c r="T1195" i="34"/>
  <c r="U1195" i="34"/>
  <c r="W1195" i="34"/>
  <c r="Y1195" i="34"/>
  <c r="Z1195" i="34"/>
  <c r="N1196" i="34"/>
  <c r="R1196" i="34"/>
  <c r="S1196" i="34"/>
  <c r="T1196" i="34"/>
  <c r="U1196" i="34"/>
  <c r="W1196" i="34"/>
  <c r="Y1196" i="34"/>
  <c r="Z1196" i="34"/>
  <c r="N1197" i="34"/>
  <c r="R1197" i="34"/>
  <c r="S1197" i="34"/>
  <c r="T1197" i="34"/>
  <c r="U1197" i="34"/>
  <c r="W1197" i="34"/>
  <c r="Y1197" i="34"/>
  <c r="Z1197" i="34"/>
  <c r="N1198" i="34"/>
  <c r="R1198" i="34"/>
  <c r="S1198" i="34"/>
  <c r="T1198" i="34"/>
  <c r="U1198" i="34"/>
  <c r="W1198" i="34"/>
  <c r="Y1198" i="34"/>
  <c r="Z1198" i="34"/>
  <c r="N1199" i="34"/>
  <c r="R1199" i="34"/>
  <c r="S1199" i="34"/>
  <c r="T1199" i="34"/>
  <c r="U1199" i="34"/>
  <c r="W1199" i="34"/>
  <c r="Y1199" i="34"/>
  <c r="Z1199" i="34"/>
  <c r="N1200" i="34"/>
  <c r="R1200" i="34"/>
  <c r="S1200" i="34"/>
  <c r="T1200" i="34"/>
  <c r="U1200" i="34"/>
  <c r="W1200" i="34"/>
  <c r="Y1200" i="34"/>
  <c r="Z1200" i="34"/>
  <c r="N1201" i="34"/>
  <c r="R1201" i="34"/>
  <c r="S1201" i="34"/>
  <c r="T1201" i="34"/>
  <c r="U1201" i="34"/>
  <c r="W1201" i="34"/>
  <c r="Y1201" i="34"/>
  <c r="Z1201" i="34"/>
  <c r="N1202" i="34"/>
  <c r="R1202" i="34"/>
  <c r="S1202" i="34"/>
  <c r="T1202" i="34"/>
  <c r="U1202" i="34"/>
  <c r="W1202" i="34"/>
  <c r="Y1202" i="34"/>
  <c r="Z1202" i="34"/>
  <c r="N1203" i="34"/>
  <c r="R1203" i="34"/>
  <c r="S1203" i="34"/>
  <c r="T1203" i="34"/>
  <c r="U1203" i="34"/>
  <c r="W1203" i="34"/>
  <c r="Y1203" i="34"/>
  <c r="Z1203" i="34"/>
  <c r="N1204" i="34"/>
  <c r="R1204" i="34"/>
  <c r="S1204" i="34"/>
  <c r="T1204" i="34"/>
  <c r="U1204" i="34"/>
  <c r="W1204" i="34"/>
  <c r="Y1204" i="34"/>
  <c r="Z1204" i="34"/>
  <c r="N1205" i="34"/>
  <c r="R1205" i="34"/>
  <c r="S1205" i="34"/>
  <c r="T1205" i="34"/>
  <c r="U1205" i="34"/>
  <c r="W1205" i="34"/>
  <c r="Y1205" i="34"/>
  <c r="Z1205" i="34"/>
  <c r="N1206" i="34"/>
  <c r="R1206" i="34"/>
  <c r="S1206" i="34"/>
  <c r="T1206" i="34"/>
  <c r="U1206" i="34"/>
  <c r="W1206" i="34"/>
  <c r="Y1206" i="34"/>
  <c r="Z1206" i="34"/>
  <c r="N1207" i="34"/>
  <c r="R1207" i="34"/>
  <c r="S1207" i="34"/>
  <c r="T1207" i="34"/>
  <c r="U1207" i="34"/>
  <c r="W1207" i="34"/>
  <c r="Y1207" i="34"/>
  <c r="Z1207" i="34"/>
  <c r="N1208" i="34"/>
  <c r="R1208" i="34"/>
  <c r="S1208" i="34"/>
  <c r="T1208" i="34"/>
  <c r="U1208" i="34"/>
  <c r="W1208" i="34"/>
  <c r="Y1208" i="34"/>
  <c r="Z1208" i="34"/>
  <c r="N1209" i="34"/>
  <c r="R1209" i="34"/>
  <c r="S1209" i="34"/>
  <c r="T1209" i="34"/>
  <c r="U1209" i="34"/>
  <c r="W1209" i="34"/>
  <c r="Y1209" i="34"/>
  <c r="Z1209" i="34"/>
  <c r="N1210" i="34"/>
  <c r="R1210" i="34"/>
  <c r="S1210" i="34"/>
  <c r="T1210" i="34"/>
  <c r="U1210" i="34"/>
  <c r="W1210" i="34"/>
  <c r="Y1210" i="34"/>
  <c r="Z1210" i="34"/>
  <c r="N1211" i="34"/>
  <c r="R1211" i="34"/>
  <c r="S1211" i="34"/>
  <c r="T1211" i="34"/>
  <c r="U1211" i="34"/>
  <c r="W1211" i="34"/>
  <c r="Y1211" i="34"/>
  <c r="Z1211" i="34"/>
  <c r="N1212" i="34"/>
  <c r="R1212" i="34"/>
  <c r="S1212" i="34"/>
  <c r="T1212" i="34"/>
  <c r="U1212" i="34"/>
  <c r="W1212" i="34"/>
  <c r="Y1212" i="34"/>
  <c r="Z1212" i="34"/>
  <c r="N1213" i="34"/>
  <c r="R1213" i="34"/>
  <c r="S1213" i="34"/>
  <c r="T1213" i="34"/>
  <c r="U1213" i="34"/>
  <c r="W1213" i="34"/>
  <c r="Y1213" i="34"/>
  <c r="Z1213" i="34"/>
  <c r="N1214" i="34"/>
  <c r="R1214" i="34"/>
  <c r="S1214" i="34"/>
  <c r="T1214" i="34"/>
  <c r="U1214" i="34"/>
  <c r="W1214" i="34"/>
  <c r="Y1214" i="34"/>
  <c r="Z1214" i="34"/>
  <c r="N1215" i="34"/>
  <c r="R1215" i="34"/>
  <c r="S1215" i="34"/>
  <c r="T1215" i="34"/>
  <c r="U1215" i="34"/>
  <c r="W1215" i="34"/>
  <c r="Y1215" i="34"/>
  <c r="Z1215" i="34"/>
  <c r="N1216" i="34"/>
  <c r="R1216" i="34"/>
  <c r="S1216" i="34"/>
  <c r="T1216" i="34"/>
  <c r="U1216" i="34"/>
  <c r="W1216" i="34"/>
  <c r="Y1216" i="34"/>
  <c r="Z1216" i="34"/>
  <c r="N1217" i="34"/>
  <c r="R1217" i="34"/>
  <c r="S1217" i="34"/>
  <c r="T1217" i="34"/>
  <c r="U1217" i="34"/>
  <c r="W1217" i="34"/>
  <c r="Y1217" i="34"/>
  <c r="Z1217" i="34"/>
  <c r="N1218" i="34"/>
  <c r="R1218" i="34"/>
  <c r="S1218" i="34"/>
  <c r="T1218" i="34"/>
  <c r="U1218" i="34"/>
  <c r="W1218" i="34"/>
  <c r="Y1218" i="34"/>
  <c r="Z1218" i="34"/>
  <c r="N1219" i="34"/>
  <c r="R1219" i="34"/>
  <c r="S1219" i="34"/>
  <c r="T1219" i="34"/>
  <c r="U1219" i="34"/>
  <c r="W1219" i="34"/>
  <c r="Y1219" i="34"/>
  <c r="Z1219" i="34"/>
  <c r="N1220" i="34"/>
  <c r="R1220" i="34"/>
  <c r="S1220" i="34"/>
  <c r="T1220" i="34"/>
  <c r="U1220" i="34"/>
  <c r="W1220" i="34"/>
  <c r="Y1220" i="34"/>
  <c r="Z1220" i="34"/>
  <c r="N1221" i="34"/>
  <c r="R1221" i="34"/>
  <c r="S1221" i="34"/>
  <c r="T1221" i="34"/>
  <c r="U1221" i="34"/>
  <c r="W1221" i="34"/>
  <c r="Y1221" i="34"/>
  <c r="Z1221" i="34"/>
  <c r="N1222" i="34"/>
  <c r="R1222" i="34"/>
  <c r="S1222" i="34"/>
  <c r="T1222" i="34"/>
  <c r="U1222" i="34"/>
  <c r="W1222" i="34"/>
  <c r="Y1222" i="34"/>
  <c r="Z1222" i="34"/>
  <c r="N1223" i="34"/>
  <c r="R1223" i="34"/>
  <c r="S1223" i="34"/>
  <c r="T1223" i="34"/>
  <c r="U1223" i="34"/>
  <c r="W1223" i="34"/>
  <c r="Y1223" i="34"/>
  <c r="Z1223" i="34"/>
  <c r="N1224" i="34"/>
  <c r="R1224" i="34"/>
  <c r="S1224" i="34"/>
  <c r="T1224" i="34"/>
  <c r="U1224" i="34"/>
  <c r="W1224" i="34"/>
  <c r="Y1224" i="34"/>
  <c r="Z1224" i="34"/>
  <c r="N1225" i="34"/>
  <c r="R1225" i="34"/>
  <c r="S1225" i="34"/>
  <c r="T1225" i="34"/>
  <c r="U1225" i="34"/>
  <c r="W1225" i="34"/>
  <c r="Y1225" i="34"/>
  <c r="Z1225" i="34"/>
  <c r="N1226" i="34"/>
  <c r="R1226" i="34"/>
  <c r="S1226" i="34"/>
  <c r="T1226" i="34"/>
  <c r="U1226" i="34"/>
  <c r="W1226" i="34"/>
  <c r="Y1226" i="34"/>
  <c r="Z1226" i="34"/>
  <c r="N1227" i="34"/>
  <c r="R1227" i="34"/>
  <c r="S1227" i="34"/>
  <c r="T1227" i="34"/>
  <c r="U1227" i="34"/>
  <c r="W1227" i="34"/>
  <c r="Y1227" i="34"/>
  <c r="Z1227" i="34"/>
  <c r="N1228" i="34"/>
  <c r="R1228" i="34"/>
  <c r="S1228" i="34"/>
  <c r="T1228" i="34"/>
  <c r="U1228" i="34"/>
  <c r="W1228" i="34"/>
  <c r="Y1228" i="34"/>
  <c r="Z1228" i="34"/>
  <c r="N1229" i="34"/>
  <c r="R1229" i="34"/>
  <c r="S1229" i="34"/>
  <c r="T1229" i="34"/>
  <c r="U1229" i="34"/>
  <c r="W1229" i="34"/>
  <c r="Y1229" i="34"/>
  <c r="Z1229" i="34"/>
  <c r="N1230" i="34"/>
  <c r="R1230" i="34"/>
  <c r="S1230" i="34"/>
  <c r="T1230" i="34"/>
  <c r="U1230" i="34"/>
  <c r="W1230" i="34"/>
  <c r="Y1230" i="34"/>
  <c r="Z1230" i="34"/>
  <c r="N1231" i="34"/>
  <c r="R1231" i="34"/>
  <c r="S1231" i="34"/>
  <c r="T1231" i="34"/>
  <c r="U1231" i="34"/>
  <c r="W1231" i="34"/>
  <c r="Y1231" i="34"/>
  <c r="Z1231" i="34"/>
  <c r="N1232" i="34"/>
  <c r="R1232" i="34"/>
  <c r="S1232" i="34"/>
  <c r="T1232" i="34"/>
  <c r="U1232" i="34"/>
  <c r="W1232" i="34"/>
  <c r="Y1232" i="34"/>
  <c r="Z1232" i="34"/>
  <c r="N1233" i="34"/>
  <c r="R1233" i="34"/>
  <c r="S1233" i="34"/>
  <c r="T1233" i="34"/>
  <c r="U1233" i="34"/>
  <c r="W1233" i="34"/>
  <c r="Y1233" i="34"/>
  <c r="Z1233" i="34"/>
  <c r="N1234" i="34"/>
  <c r="R1234" i="34"/>
  <c r="S1234" i="34"/>
  <c r="T1234" i="34"/>
  <c r="U1234" i="34"/>
  <c r="W1234" i="34"/>
  <c r="Y1234" i="34"/>
  <c r="Z1234" i="34"/>
  <c r="N1235" i="34"/>
  <c r="R1235" i="34"/>
  <c r="S1235" i="34"/>
  <c r="T1235" i="34"/>
  <c r="U1235" i="34"/>
  <c r="W1235" i="34"/>
  <c r="Y1235" i="34"/>
  <c r="Z1235" i="34"/>
  <c r="N1236" i="34"/>
  <c r="R1236" i="34"/>
  <c r="S1236" i="34"/>
  <c r="T1236" i="34"/>
  <c r="U1236" i="34"/>
  <c r="W1236" i="34"/>
  <c r="Y1236" i="34"/>
  <c r="Z1236" i="34"/>
  <c r="N1237" i="34"/>
  <c r="R1237" i="34"/>
  <c r="S1237" i="34"/>
  <c r="T1237" i="34"/>
  <c r="U1237" i="34"/>
  <c r="W1237" i="34"/>
  <c r="Y1237" i="34"/>
  <c r="Z1237" i="34"/>
  <c r="N1238" i="34"/>
  <c r="R1238" i="34"/>
  <c r="S1238" i="34"/>
  <c r="T1238" i="34"/>
  <c r="U1238" i="34"/>
  <c r="W1238" i="34"/>
  <c r="Y1238" i="34"/>
  <c r="Z1238" i="34"/>
  <c r="N1239" i="34"/>
  <c r="R1239" i="34"/>
  <c r="S1239" i="34"/>
  <c r="T1239" i="34"/>
  <c r="U1239" i="34"/>
  <c r="W1239" i="34"/>
  <c r="Y1239" i="34"/>
  <c r="Z1239" i="34"/>
  <c r="N1240" i="34"/>
  <c r="R1240" i="34"/>
  <c r="S1240" i="34"/>
  <c r="T1240" i="34"/>
  <c r="U1240" i="34"/>
  <c r="W1240" i="34"/>
  <c r="Y1240" i="34"/>
  <c r="Z1240" i="34"/>
  <c r="N1241" i="34"/>
  <c r="R1241" i="34"/>
  <c r="S1241" i="34"/>
  <c r="T1241" i="34"/>
  <c r="U1241" i="34"/>
  <c r="W1241" i="34"/>
  <c r="Y1241" i="34"/>
  <c r="Z1241" i="34"/>
  <c r="N1242" i="34"/>
  <c r="R1242" i="34"/>
  <c r="S1242" i="34"/>
  <c r="T1242" i="34"/>
  <c r="U1242" i="34"/>
  <c r="W1242" i="34"/>
  <c r="Y1242" i="34"/>
  <c r="Z1242" i="34"/>
  <c r="N1243" i="34"/>
  <c r="R1243" i="34"/>
  <c r="S1243" i="34"/>
  <c r="T1243" i="34"/>
  <c r="U1243" i="34"/>
  <c r="W1243" i="34"/>
  <c r="Y1243" i="34"/>
  <c r="Z1243" i="34"/>
  <c r="N1244" i="34"/>
  <c r="R1244" i="34"/>
  <c r="S1244" i="34"/>
  <c r="T1244" i="34"/>
  <c r="U1244" i="34"/>
  <c r="W1244" i="34"/>
  <c r="Y1244" i="34"/>
  <c r="Z1244" i="34"/>
  <c r="N1245" i="34"/>
  <c r="R1245" i="34"/>
  <c r="S1245" i="34"/>
  <c r="T1245" i="34"/>
  <c r="U1245" i="34"/>
  <c r="W1245" i="34"/>
  <c r="Y1245" i="34"/>
  <c r="Z1245" i="34"/>
  <c r="N1246" i="34"/>
  <c r="R1246" i="34"/>
  <c r="S1246" i="34"/>
  <c r="T1246" i="34"/>
  <c r="U1246" i="34"/>
  <c r="W1246" i="34"/>
  <c r="Y1246" i="34"/>
  <c r="Z1246" i="34"/>
  <c r="N1247" i="34"/>
  <c r="R1247" i="34"/>
  <c r="S1247" i="34"/>
  <c r="T1247" i="34"/>
  <c r="U1247" i="34"/>
  <c r="W1247" i="34"/>
  <c r="Y1247" i="34"/>
  <c r="Z1247" i="34"/>
  <c r="N1248" i="34"/>
  <c r="R1248" i="34"/>
  <c r="S1248" i="34"/>
  <c r="T1248" i="34"/>
  <c r="U1248" i="34"/>
  <c r="W1248" i="34"/>
  <c r="Y1248" i="34"/>
  <c r="Z1248" i="34"/>
  <c r="N1249" i="34"/>
  <c r="R1249" i="34"/>
  <c r="S1249" i="34"/>
  <c r="T1249" i="34"/>
  <c r="U1249" i="34"/>
  <c r="W1249" i="34"/>
  <c r="Y1249" i="34"/>
  <c r="Z1249" i="34"/>
  <c r="N1250" i="34"/>
  <c r="R1250" i="34"/>
  <c r="S1250" i="34"/>
  <c r="T1250" i="34"/>
  <c r="U1250" i="34"/>
  <c r="W1250" i="34"/>
  <c r="Y1250" i="34"/>
  <c r="Z1250" i="34"/>
  <c r="N1251" i="34"/>
  <c r="R1251" i="34"/>
  <c r="S1251" i="34"/>
  <c r="T1251" i="34"/>
  <c r="U1251" i="34"/>
  <c r="W1251" i="34"/>
  <c r="Y1251" i="34"/>
  <c r="Z1251" i="34"/>
  <c r="N1252" i="34"/>
  <c r="R1252" i="34"/>
  <c r="S1252" i="34"/>
  <c r="T1252" i="34"/>
  <c r="U1252" i="34"/>
  <c r="W1252" i="34"/>
  <c r="Y1252" i="34"/>
  <c r="Z1252" i="34"/>
  <c r="N1253" i="34"/>
  <c r="R1253" i="34"/>
  <c r="S1253" i="34"/>
  <c r="T1253" i="34"/>
  <c r="U1253" i="34"/>
  <c r="W1253" i="34"/>
  <c r="Y1253" i="34"/>
  <c r="Z1253" i="34"/>
  <c r="N1254" i="34"/>
  <c r="R1254" i="34"/>
  <c r="S1254" i="34"/>
  <c r="T1254" i="34"/>
  <c r="U1254" i="34"/>
  <c r="W1254" i="34"/>
  <c r="Y1254" i="34"/>
  <c r="Z1254" i="34"/>
  <c r="N1255" i="34"/>
  <c r="R1255" i="34"/>
  <c r="S1255" i="34"/>
  <c r="T1255" i="34"/>
  <c r="U1255" i="34"/>
  <c r="W1255" i="34"/>
  <c r="Y1255" i="34"/>
  <c r="Z1255" i="34"/>
  <c r="N1256" i="34"/>
  <c r="R1256" i="34"/>
  <c r="S1256" i="34"/>
  <c r="T1256" i="34"/>
  <c r="U1256" i="34"/>
  <c r="W1256" i="34"/>
  <c r="Y1256" i="34"/>
  <c r="Z1256" i="34"/>
  <c r="N1257" i="34"/>
  <c r="R1257" i="34"/>
  <c r="S1257" i="34"/>
  <c r="T1257" i="34"/>
  <c r="U1257" i="34"/>
  <c r="W1257" i="34"/>
  <c r="Y1257" i="34"/>
  <c r="Z1257" i="34"/>
  <c r="N1258" i="34"/>
  <c r="R1258" i="34"/>
  <c r="S1258" i="34"/>
  <c r="T1258" i="34"/>
  <c r="U1258" i="34"/>
  <c r="W1258" i="34"/>
  <c r="Y1258" i="34"/>
  <c r="Z1258" i="34"/>
  <c r="N1259" i="34"/>
  <c r="R1259" i="34"/>
  <c r="S1259" i="34"/>
  <c r="T1259" i="34"/>
  <c r="U1259" i="34"/>
  <c r="W1259" i="34"/>
  <c r="Y1259" i="34"/>
  <c r="Z1259" i="34"/>
  <c r="N1260" i="34"/>
  <c r="R1260" i="34"/>
  <c r="S1260" i="34"/>
  <c r="T1260" i="34"/>
  <c r="U1260" i="34"/>
  <c r="W1260" i="34"/>
  <c r="Y1260" i="34"/>
  <c r="Z1260" i="34"/>
  <c r="N1261" i="34"/>
  <c r="R1261" i="34"/>
  <c r="S1261" i="34"/>
  <c r="T1261" i="34"/>
  <c r="U1261" i="34"/>
  <c r="W1261" i="34"/>
  <c r="Y1261" i="34"/>
  <c r="Z1261" i="34"/>
  <c r="N1262" i="34"/>
  <c r="R1262" i="34"/>
  <c r="S1262" i="34"/>
  <c r="T1262" i="34"/>
  <c r="U1262" i="34"/>
  <c r="W1262" i="34"/>
  <c r="Y1262" i="34"/>
  <c r="Z1262" i="34"/>
  <c r="N1263" i="34"/>
  <c r="R1263" i="34"/>
  <c r="S1263" i="34"/>
  <c r="T1263" i="34"/>
  <c r="U1263" i="34"/>
  <c r="W1263" i="34"/>
  <c r="Y1263" i="34"/>
  <c r="Z1263" i="34"/>
  <c r="N1264" i="34"/>
  <c r="R1264" i="34"/>
  <c r="S1264" i="34"/>
  <c r="T1264" i="34"/>
  <c r="U1264" i="34"/>
  <c r="W1264" i="34"/>
  <c r="Y1264" i="34"/>
  <c r="Z1264" i="34"/>
  <c r="N1265" i="34"/>
  <c r="R1265" i="34"/>
  <c r="S1265" i="34"/>
  <c r="T1265" i="34"/>
  <c r="U1265" i="34"/>
  <c r="W1265" i="34"/>
  <c r="Y1265" i="34"/>
  <c r="Z1265" i="34"/>
  <c r="N1266" i="34"/>
  <c r="R1266" i="34"/>
  <c r="S1266" i="34"/>
  <c r="T1266" i="34"/>
  <c r="U1266" i="34"/>
  <c r="W1266" i="34"/>
  <c r="Y1266" i="34"/>
  <c r="Z1266" i="34"/>
  <c r="N1267" i="34"/>
  <c r="R1267" i="34"/>
  <c r="S1267" i="34"/>
  <c r="T1267" i="34"/>
  <c r="U1267" i="34"/>
  <c r="W1267" i="34"/>
  <c r="Y1267" i="34"/>
  <c r="Z1267" i="34"/>
  <c r="N1268" i="34"/>
  <c r="R1268" i="34"/>
  <c r="S1268" i="34"/>
  <c r="T1268" i="34"/>
  <c r="U1268" i="34"/>
  <c r="W1268" i="34"/>
  <c r="Y1268" i="34"/>
  <c r="Z1268" i="34"/>
  <c r="N1269" i="34"/>
  <c r="R1269" i="34"/>
  <c r="S1269" i="34"/>
  <c r="T1269" i="34"/>
  <c r="U1269" i="34"/>
  <c r="W1269" i="34"/>
  <c r="Y1269" i="34"/>
  <c r="Z1269" i="34"/>
  <c r="N1270" i="34"/>
  <c r="R1270" i="34"/>
  <c r="S1270" i="34"/>
  <c r="T1270" i="34"/>
  <c r="U1270" i="34"/>
  <c r="W1270" i="34"/>
  <c r="Y1270" i="34"/>
  <c r="Z1270" i="34"/>
  <c r="N1271" i="34"/>
  <c r="R1271" i="34"/>
  <c r="S1271" i="34"/>
  <c r="T1271" i="34"/>
  <c r="U1271" i="34"/>
  <c r="W1271" i="34"/>
  <c r="Y1271" i="34"/>
  <c r="Z1271" i="34"/>
  <c r="N1272" i="34"/>
  <c r="R1272" i="34"/>
  <c r="S1272" i="34"/>
  <c r="T1272" i="34"/>
  <c r="U1272" i="34"/>
  <c r="W1272" i="34"/>
  <c r="Y1272" i="34"/>
  <c r="Z1272" i="34"/>
  <c r="N1273" i="34"/>
  <c r="R1273" i="34"/>
  <c r="S1273" i="34"/>
  <c r="T1273" i="34"/>
  <c r="U1273" i="34"/>
  <c r="W1273" i="34"/>
  <c r="Y1273" i="34"/>
  <c r="Z1273" i="34"/>
  <c r="N1274" i="34"/>
  <c r="R1274" i="34"/>
  <c r="S1274" i="34"/>
  <c r="T1274" i="34"/>
  <c r="U1274" i="34"/>
  <c r="W1274" i="34"/>
  <c r="Y1274" i="34"/>
  <c r="Z1274" i="34"/>
  <c r="N1275" i="34"/>
  <c r="R1275" i="34"/>
  <c r="S1275" i="34"/>
  <c r="T1275" i="34"/>
  <c r="U1275" i="34"/>
  <c r="W1275" i="34"/>
  <c r="Y1275" i="34"/>
  <c r="Z1275" i="34"/>
  <c r="N1276" i="34"/>
  <c r="R1276" i="34"/>
  <c r="S1276" i="34"/>
  <c r="T1276" i="34"/>
  <c r="U1276" i="34"/>
  <c r="W1276" i="34"/>
  <c r="Y1276" i="34"/>
  <c r="Z1276" i="34"/>
  <c r="N1277" i="34"/>
  <c r="R1277" i="34"/>
  <c r="S1277" i="34"/>
  <c r="T1277" i="34"/>
  <c r="U1277" i="34"/>
  <c r="W1277" i="34"/>
  <c r="Y1277" i="34"/>
  <c r="Z1277" i="34"/>
  <c r="N1278" i="34"/>
  <c r="R1278" i="34"/>
  <c r="S1278" i="34"/>
  <c r="T1278" i="34"/>
  <c r="U1278" i="34"/>
  <c r="W1278" i="34"/>
  <c r="Y1278" i="34"/>
  <c r="Z1278" i="34"/>
  <c r="N1279" i="34"/>
  <c r="R1279" i="34"/>
  <c r="S1279" i="34"/>
  <c r="T1279" i="34"/>
  <c r="U1279" i="34"/>
  <c r="W1279" i="34"/>
  <c r="Y1279" i="34"/>
  <c r="Z1279" i="34"/>
  <c r="N1280" i="34"/>
  <c r="R1280" i="34"/>
  <c r="S1280" i="34"/>
  <c r="T1280" i="34"/>
  <c r="U1280" i="34"/>
  <c r="W1280" i="34"/>
  <c r="Y1280" i="34"/>
  <c r="Z1280" i="34"/>
  <c r="N1281" i="34"/>
  <c r="R1281" i="34"/>
  <c r="S1281" i="34"/>
  <c r="T1281" i="34"/>
  <c r="U1281" i="34"/>
  <c r="W1281" i="34"/>
  <c r="Y1281" i="34"/>
  <c r="Z1281" i="34"/>
  <c r="N1282" i="34"/>
  <c r="R1282" i="34"/>
  <c r="S1282" i="34"/>
  <c r="T1282" i="34"/>
  <c r="U1282" i="34"/>
  <c r="W1282" i="34"/>
  <c r="Y1282" i="34"/>
  <c r="Z1282" i="34"/>
  <c r="N1283" i="34"/>
  <c r="R1283" i="34"/>
  <c r="S1283" i="34"/>
  <c r="T1283" i="34"/>
  <c r="U1283" i="34"/>
  <c r="W1283" i="34"/>
  <c r="Y1283" i="34"/>
  <c r="Z1283" i="34"/>
  <c r="N1284" i="34"/>
  <c r="R1284" i="34"/>
  <c r="S1284" i="34"/>
  <c r="T1284" i="34"/>
  <c r="U1284" i="34"/>
  <c r="W1284" i="34"/>
  <c r="Y1284" i="34"/>
  <c r="Z1284" i="34"/>
  <c r="N1285" i="34"/>
  <c r="R1285" i="34"/>
  <c r="S1285" i="34"/>
  <c r="T1285" i="34"/>
  <c r="U1285" i="34"/>
  <c r="W1285" i="34"/>
  <c r="Y1285" i="34"/>
  <c r="Z1285" i="34"/>
  <c r="N1286" i="34"/>
  <c r="R1286" i="34"/>
  <c r="S1286" i="34"/>
  <c r="T1286" i="34"/>
  <c r="U1286" i="34"/>
  <c r="W1286" i="34"/>
  <c r="Y1286" i="34"/>
  <c r="Z1286" i="34"/>
  <c r="N1287" i="34"/>
  <c r="R1287" i="34"/>
  <c r="S1287" i="34"/>
  <c r="T1287" i="34"/>
  <c r="U1287" i="34"/>
  <c r="W1287" i="34"/>
  <c r="Y1287" i="34"/>
  <c r="Z1287" i="34"/>
  <c r="N1288" i="34"/>
  <c r="R1288" i="34"/>
  <c r="S1288" i="34"/>
  <c r="T1288" i="34"/>
  <c r="U1288" i="34"/>
  <c r="W1288" i="34"/>
  <c r="Y1288" i="34"/>
  <c r="Z1288" i="34"/>
  <c r="N1289" i="34"/>
  <c r="R1289" i="34"/>
  <c r="S1289" i="34"/>
  <c r="T1289" i="34"/>
  <c r="U1289" i="34"/>
  <c r="W1289" i="34"/>
  <c r="Y1289" i="34"/>
  <c r="Z1289" i="34"/>
  <c r="N1290" i="34"/>
  <c r="R1290" i="34"/>
  <c r="S1290" i="34"/>
  <c r="T1290" i="34"/>
  <c r="U1290" i="34"/>
  <c r="W1290" i="34"/>
  <c r="Y1290" i="34"/>
  <c r="Z1290" i="34"/>
  <c r="N1291" i="34"/>
  <c r="R1291" i="34"/>
  <c r="S1291" i="34"/>
  <c r="T1291" i="34"/>
  <c r="U1291" i="34"/>
  <c r="W1291" i="34"/>
  <c r="Y1291" i="34"/>
  <c r="Z1291" i="34"/>
  <c r="N1292" i="34"/>
  <c r="R1292" i="34"/>
  <c r="S1292" i="34"/>
  <c r="T1292" i="34"/>
  <c r="U1292" i="34"/>
  <c r="W1292" i="34"/>
  <c r="Y1292" i="34"/>
  <c r="Z1292" i="34"/>
  <c r="N1293" i="34"/>
  <c r="R1293" i="34"/>
  <c r="S1293" i="34"/>
  <c r="T1293" i="34"/>
  <c r="U1293" i="34"/>
  <c r="W1293" i="34"/>
  <c r="Y1293" i="34"/>
  <c r="Z1293" i="34"/>
  <c r="N1294" i="34"/>
  <c r="R1294" i="34"/>
  <c r="S1294" i="34"/>
  <c r="T1294" i="34"/>
  <c r="U1294" i="34"/>
  <c r="W1294" i="34"/>
  <c r="Y1294" i="34"/>
  <c r="Z1294" i="34"/>
  <c r="N1295" i="34"/>
  <c r="R1295" i="34"/>
  <c r="S1295" i="34"/>
  <c r="T1295" i="34"/>
  <c r="U1295" i="34"/>
  <c r="W1295" i="34"/>
  <c r="Y1295" i="34"/>
  <c r="Z1295" i="34"/>
  <c r="N1296" i="34"/>
  <c r="R1296" i="34"/>
  <c r="S1296" i="34"/>
  <c r="T1296" i="34"/>
  <c r="U1296" i="34"/>
  <c r="W1296" i="34"/>
  <c r="Y1296" i="34"/>
  <c r="Z1296" i="34"/>
  <c r="N1297" i="34"/>
  <c r="R1297" i="34"/>
  <c r="S1297" i="34"/>
  <c r="T1297" i="34"/>
  <c r="U1297" i="34"/>
  <c r="W1297" i="34"/>
  <c r="Y1297" i="34"/>
  <c r="Z1297" i="34"/>
  <c r="N1298" i="34"/>
  <c r="R1298" i="34"/>
  <c r="S1298" i="34"/>
  <c r="T1298" i="34"/>
  <c r="U1298" i="34"/>
  <c r="W1298" i="34"/>
  <c r="Y1298" i="34"/>
  <c r="Z1298" i="34"/>
  <c r="N1299" i="34"/>
  <c r="R1299" i="34"/>
  <c r="S1299" i="34"/>
  <c r="T1299" i="34"/>
  <c r="U1299" i="34"/>
  <c r="W1299" i="34"/>
  <c r="Y1299" i="34"/>
  <c r="Z1299" i="34"/>
  <c r="N1300" i="34"/>
  <c r="R1300" i="34"/>
  <c r="S1300" i="34"/>
  <c r="T1300" i="34"/>
  <c r="U1300" i="34"/>
  <c r="W1300" i="34"/>
  <c r="Y1300" i="34"/>
  <c r="Z1300" i="34"/>
  <c r="N1301" i="34"/>
  <c r="R1301" i="34"/>
  <c r="S1301" i="34"/>
  <c r="T1301" i="34"/>
  <c r="U1301" i="34"/>
  <c r="W1301" i="34"/>
  <c r="Y1301" i="34"/>
  <c r="Z1301" i="34"/>
  <c r="N1302" i="34"/>
  <c r="R1302" i="34"/>
  <c r="S1302" i="34"/>
  <c r="T1302" i="34"/>
  <c r="U1302" i="34"/>
  <c r="W1302" i="34"/>
  <c r="Y1302" i="34"/>
  <c r="Z1302" i="34"/>
  <c r="N1303" i="34"/>
  <c r="R1303" i="34"/>
  <c r="S1303" i="34"/>
  <c r="T1303" i="34"/>
  <c r="U1303" i="34"/>
  <c r="W1303" i="34"/>
  <c r="Y1303" i="34"/>
  <c r="Z1303" i="34"/>
  <c r="N1304" i="34"/>
  <c r="R1304" i="34"/>
  <c r="S1304" i="34"/>
  <c r="T1304" i="34"/>
  <c r="U1304" i="34"/>
  <c r="W1304" i="34"/>
  <c r="Y1304" i="34"/>
  <c r="Z1304" i="34"/>
  <c r="N1305" i="34"/>
  <c r="R1305" i="34"/>
  <c r="S1305" i="34"/>
  <c r="T1305" i="34"/>
  <c r="U1305" i="34"/>
  <c r="W1305" i="34"/>
  <c r="Y1305" i="34"/>
  <c r="Z1305" i="34"/>
  <c r="N1306" i="34"/>
  <c r="R1306" i="34"/>
  <c r="S1306" i="34"/>
  <c r="T1306" i="34"/>
  <c r="U1306" i="34"/>
  <c r="W1306" i="34"/>
  <c r="Y1306" i="34"/>
  <c r="Z1306" i="34"/>
  <c r="N1307" i="34"/>
  <c r="R1307" i="34"/>
  <c r="S1307" i="34"/>
  <c r="T1307" i="34"/>
  <c r="U1307" i="34"/>
  <c r="W1307" i="34"/>
  <c r="Y1307" i="34"/>
  <c r="Z1307" i="34"/>
  <c r="N1308" i="34"/>
  <c r="R1308" i="34"/>
  <c r="S1308" i="34"/>
  <c r="T1308" i="34"/>
  <c r="U1308" i="34"/>
  <c r="W1308" i="34"/>
  <c r="Y1308" i="34"/>
  <c r="Z1308" i="34"/>
  <c r="N1309" i="34"/>
  <c r="R1309" i="34"/>
  <c r="S1309" i="34"/>
  <c r="T1309" i="34"/>
  <c r="U1309" i="34"/>
  <c r="W1309" i="34"/>
  <c r="Y1309" i="34"/>
  <c r="Z1309" i="34"/>
  <c r="N1310" i="34"/>
  <c r="R1310" i="34"/>
  <c r="S1310" i="34"/>
  <c r="T1310" i="34"/>
  <c r="U1310" i="34"/>
  <c r="W1310" i="34"/>
  <c r="Y1310" i="34"/>
  <c r="Z1310" i="34"/>
  <c r="N1311" i="34"/>
  <c r="R1311" i="34"/>
  <c r="S1311" i="34"/>
  <c r="T1311" i="34"/>
  <c r="U1311" i="34"/>
  <c r="W1311" i="34"/>
  <c r="Y1311" i="34"/>
  <c r="Z1311" i="34"/>
  <c r="N1312" i="34"/>
  <c r="R1312" i="34"/>
  <c r="S1312" i="34"/>
  <c r="T1312" i="34"/>
  <c r="U1312" i="34"/>
  <c r="W1312" i="34"/>
  <c r="Y1312" i="34"/>
  <c r="Z1312" i="34"/>
  <c r="N1313" i="34"/>
  <c r="R1313" i="34"/>
  <c r="S1313" i="34"/>
  <c r="T1313" i="34"/>
  <c r="U1313" i="34"/>
  <c r="W1313" i="34"/>
  <c r="Y1313" i="34"/>
  <c r="Z1313" i="34"/>
  <c r="N1314" i="34"/>
  <c r="R1314" i="34"/>
  <c r="S1314" i="34"/>
  <c r="T1314" i="34"/>
  <c r="U1314" i="34"/>
  <c r="W1314" i="34"/>
  <c r="Y1314" i="34"/>
  <c r="Z1314" i="34"/>
  <c r="N1315" i="34"/>
  <c r="R1315" i="34"/>
  <c r="S1315" i="34"/>
  <c r="T1315" i="34"/>
  <c r="U1315" i="34"/>
  <c r="W1315" i="34"/>
  <c r="Y1315" i="34"/>
  <c r="Z1315" i="34"/>
  <c r="N1316" i="34"/>
  <c r="R1316" i="34"/>
  <c r="S1316" i="34"/>
  <c r="T1316" i="34"/>
  <c r="U1316" i="34"/>
  <c r="W1316" i="34"/>
  <c r="Y1316" i="34"/>
  <c r="Z1316" i="34"/>
  <c r="N1317" i="34"/>
  <c r="R1317" i="34"/>
  <c r="S1317" i="34"/>
  <c r="T1317" i="34"/>
  <c r="U1317" i="34"/>
  <c r="W1317" i="34"/>
  <c r="Y1317" i="34"/>
  <c r="Z1317" i="34"/>
  <c r="N1318" i="34"/>
  <c r="R1318" i="34"/>
  <c r="S1318" i="34"/>
  <c r="T1318" i="34"/>
  <c r="U1318" i="34"/>
  <c r="W1318" i="34"/>
  <c r="Y1318" i="34"/>
  <c r="Z1318" i="34"/>
  <c r="N1319" i="34"/>
  <c r="R1319" i="34"/>
  <c r="S1319" i="34"/>
  <c r="T1319" i="34"/>
  <c r="U1319" i="34"/>
  <c r="W1319" i="34"/>
  <c r="Y1319" i="34"/>
  <c r="Z1319" i="34"/>
  <c r="N1320" i="34"/>
  <c r="R1320" i="34"/>
  <c r="S1320" i="34"/>
  <c r="T1320" i="34"/>
  <c r="U1320" i="34"/>
  <c r="W1320" i="34"/>
  <c r="Y1320" i="34"/>
  <c r="Z1320" i="34"/>
  <c r="N1321" i="34"/>
  <c r="R1321" i="34"/>
  <c r="S1321" i="34"/>
  <c r="T1321" i="34"/>
  <c r="U1321" i="34"/>
  <c r="W1321" i="34"/>
  <c r="Y1321" i="34"/>
  <c r="Z1321" i="34"/>
  <c r="N1322" i="34"/>
  <c r="R1322" i="34"/>
  <c r="S1322" i="34"/>
  <c r="T1322" i="34"/>
  <c r="U1322" i="34"/>
  <c r="W1322" i="34"/>
  <c r="Y1322" i="34"/>
  <c r="Z1322" i="34"/>
  <c r="N1323" i="34"/>
  <c r="R1323" i="34"/>
  <c r="S1323" i="34"/>
  <c r="T1323" i="34"/>
  <c r="U1323" i="34"/>
  <c r="W1323" i="34"/>
  <c r="Y1323" i="34"/>
  <c r="Z1323" i="34"/>
  <c r="N1324" i="34"/>
  <c r="R1324" i="34"/>
  <c r="S1324" i="34"/>
  <c r="T1324" i="34"/>
  <c r="U1324" i="34"/>
  <c r="W1324" i="34"/>
  <c r="Y1324" i="34"/>
  <c r="Z1324" i="34"/>
  <c r="N1325" i="34"/>
  <c r="R1325" i="34"/>
  <c r="S1325" i="34"/>
  <c r="T1325" i="34"/>
  <c r="U1325" i="34"/>
  <c r="W1325" i="34"/>
  <c r="Y1325" i="34"/>
  <c r="Z1325" i="34"/>
  <c r="N1326" i="34"/>
  <c r="R1326" i="34"/>
  <c r="S1326" i="34"/>
  <c r="T1326" i="34"/>
  <c r="U1326" i="34"/>
  <c r="W1326" i="34"/>
  <c r="Y1326" i="34"/>
  <c r="Z1326" i="34"/>
  <c r="N1327" i="34"/>
  <c r="R1327" i="34"/>
  <c r="S1327" i="34"/>
  <c r="T1327" i="34"/>
  <c r="U1327" i="34"/>
  <c r="W1327" i="34"/>
  <c r="Y1327" i="34"/>
  <c r="Z1327" i="34"/>
  <c r="N1328" i="34"/>
  <c r="R1328" i="34"/>
  <c r="S1328" i="34"/>
  <c r="T1328" i="34"/>
  <c r="U1328" i="34"/>
  <c r="W1328" i="34"/>
  <c r="Y1328" i="34"/>
  <c r="Z1328" i="34"/>
  <c r="N1329" i="34"/>
  <c r="R1329" i="34"/>
  <c r="S1329" i="34"/>
  <c r="T1329" i="34"/>
  <c r="U1329" i="34"/>
  <c r="W1329" i="34"/>
  <c r="Y1329" i="34"/>
  <c r="Z1329" i="34"/>
  <c r="N1330" i="34"/>
  <c r="R1330" i="34"/>
  <c r="S1330" i="34"/>
  <c r="T1330" i="34"/>
  <c r="U1330" i="34"/>
  <c r="W1330" i="34"/>
  <c r="Y1330" i="34"/>
  <c r="Z1330" i="34"/>
  <c r="N1331" i="34"/>
  <c r="R1331" i="34"/>
  <c r="S1331" i="34"/>
  <c r="T1331" i="34"/>
  <c r="U1331" i="34"/>
  <c r="W1331" i="34"/>
  <c r="Y1331" i="34"/>
  <c r="Z1331" i="34"/>
  <c r="N1332" i="34"/>
  <c r="R1332" i="34"/>
  <c r="S1332" i="34"/>
  <c r="T1332" i="34"/>
  <c r="U1332" i="34"/>
  <c r="W1332" i="34"/>
  <c r="Y1332" i="34"/>
  <c r="Z1332" i="34"/>
  <c r="N1333" i="34"/>
  <c r="R1333" i="34"/>
  <c r="S1333" i="34"/>
  <c r="T1333" i="34"/>
  <c r="U1333" i="34"/>
  <c r="W1333" i="34"/>
  <c r="Y1333" i="34"/>
  <c r="Z1333" i="34"/>
  <c r="N1334" i="34"/>
  <c r="R1334" i="34"/>
  <c r="S1334" i="34"/>
  <c r="T1334" i="34"/>
  <c r="U1334" i="34"/>
  <c r="W1334" i="34"/>
  <c r="Y1334" i="34"/>
  <c r="Z1334" i="34"/>
  <c r="N1335" i="34"/>
  <c r="R1335" i="34"/>
  <c r="S1335" i="34"/>
  <c r="T1335" i="34"/>
  <c r="U1335" i="34"/>
  <c r="W1335" i="34"/>
  <c r="Y1335" i="34"/>
  <c r="Z1335" i="34"/>
  <c r="N1336" i="34"/>
  <c r="R1336" i="34"/>
  <c r="S1336" i="34"/>
  <c r="T1336" i="34"/>
  <c r="U1336" i="34"/>
  <c r="W1336" i="34"/>
  <c r="Y1336" i="34"/>
  <c r="Z1336" i="34"/>
  <c r="N1337" i="34"/>
  <c r="R1337" i="34"/>
  <c r="S1337" i="34"/>
  <c r="T1337" i="34"/>
  <c r="U1337" i="34"/>
  <c r="W1337" i="34"/>
  <c r="Y1337" i="34"/>
  <c r="Z1337" i="34"/>
  <c r="N1338" i="34"/>
  <c r="R1338" i="34"/>
  <c r="S1338" i="34"/>
  <c r="T1338" i="34"/>
  <c r="U1338" i="34"/>
  <c r="W1338" i="34"/>
  <c r="Y1338" i="34"/>
  <c r="Z1338" i="34"/>
  <c r="N1339" i="34"/>
  <c r="R1339" i="34"/>
  <c r="S1339" i="34"/>
  <c r="T1339" i="34"/>
  <c r="U1339" i="34"/>
  <c r="W1339" i="34"/>
  <c r="Y1339" i="34"/>
  <c r="Z1339" i="34"/>
  <c r="N1340" i="34"/>
  <c r="R1340" i="34"/>
  <c r="S1340" i="34"/>
  <c r="T1340" i="34"/>
  <c r="U1340" i="34"/>
  <c r="W1340" i="34"/>
  <c r="Y1340" i="34"/>
  <c r="Z1340" i="34"/>
  <c r="N1341" i="34"/>
  <c r="R1341" i="34"/>
  <c r="S1341" i="34"/>
  <c r="T1341" i="34"/>
  <c r="U1341" i="34"/>
  <c r="W1341" i="34"/>
  <c r="Y1341" i="34"/>
  <c r="Z1341" i="34"/>
  <c r="N1342" i="34"/>
  <c r="R1342" i="34"/>
  <c r="S1342" i="34"/>
  <c r="T1342" i="34"/>
  <c r="U1342" i="34"/>
  <c r="W1342" i="34"/>
  <c r="Y1342" i="34"/>
  <c r="Z1342" i="34"/>
  <c r="N1343" i="34"/>
  <c r="R1343" i="34"/>
  <c r="S1343" i="34"/>
  <c r="T1343" i="34"/>
  <c r="U1343" i="34"/>
  <c r="W1343" i="34"/>
  <c r="Y1343" i="34"/>
  <c r="Z1343" i="34"/>
  <c r="N1344" i="34"/>
  <c r="R1344" i="34"/>
  <c r="S1344" i="34"/>
  <c r="T1344" i="34"/>
  <c r="U1344" i="34"/>
  <c r="W1344" i="34"/>
  <c r="Y1344" i="34"/>
  <c r="Z1344" i="34"/>
  <c r="N1345" i="34"/>
  <c r="R1345" i="34"/>
  <c r="S1345" i="34"/>
  <c r="T1345" i="34"/>
  <c r="U1345" i="34"/>
  <c r="W1345" i="34"/>
  <c r="Y1345" i="34"/>
  <c r="Z1345" i="34"/>
  <c r="N1346" i="34"/>
  <c r="R1346" i="34"/>
  <c r="S1346" i="34"/>
  <c r="T1346" i="34"/>
  <c r="U1346" i="34"/>
  <c r="W1346" i="34"/>
  <c r="Y1346" i="34"/>
  <c r="Z1346" i="34"/>
  <c r="N1347" i="34"/>
  <c r="R1347" i="34"/>
  <c r="S1347" i="34"/>
  <c r="T1347" i="34"/>
  <c r="U1347" i="34"/>
  <c r="W1347" i="34"/>
  <c r="Y1347" i="34"/>
  <c r="Z1347" i="34"/>
  <c r="N1348" i="34"/>
  <c r="R1348" i="34"/>
  <c r="S1348" i="34"/>
  <c r="T1348" i="34"/>
  <c r="U1348" i="34"/>
  <c r="W1348" i="34"/>
  <c r="Y1348" i="34"/>
  <c r="Z1348" i="34"/>
  <c r="N1349" i="34"/>
  <c r="R1349" i="34"/>
  <c r="S1349" i="34"/>
  <c r="T1349" i="34"/>
  <c r="U1349" i="34"/>
  <c r="W1349" i="34"/>
  <c r="Y1349" i="34"/>
  <c r="Z1349" i="34"/>
  <c r="N1350" i="34"/>
  <c r="R1350" i="34"/>
  <c r="S1350" i="34"/>
  <c r="T1350" i="34"/>
  <c r="U1350" i="34"/>
  <c r="W1350" i="34"/>
  <c r="Y1350" i="34"/>
  <c r="Z1350" i="34"/>
  <c r="N1351" i="34"/>
  <c r="R1351" i="34"/>
  <c r="S1351" i="34"/>
  <c r="T1351" i="34"/>
  <c r="U1351" i="34"/>
  <c r="W1351" i="34"/>
  <c r="Y1351" i="34"/>
  <c r="Z1351" i="34"/>
  <c r="N1352" i="34"/>
  <c r="R1352" i="34"/>
  <c r="S1352" i="34"/>
  <c r="T1352" i="34"/>
  <c r="U1352" i="34"/>
  <c r="W1352" i="34"/>
  <c r="Y1352" i="34"/>
  <c r="Z1352" i="34"/>
  <c r="N1353" i="34"/>
  <c r="R1353" i="34"/>
  <c r="S1353" i="34"/>
  <c r="T1353" i="34"/>
  <c r="U1353" i="34"/>
  <c r="W1353" i="34"/>
  <c r="Y1353" i="34"/>
  <c r="Z1353" i="34"/>
  <c r="N1354" i="34"/>
  <c r="R1354" i="34"/>
  <c r="S1354" i="34"/>
  <c r="T1354" i="34"/>
  <c r="U1354" i="34"/>
  <c r="W1354" i="34"/>
  <c r="Y1354" i="34"/>
  <c r="Z1354" i="34"/>
  <c r="N1355" i="34"/>
  <c r="R1355" i="34"/>
  <c r="S1355" i="34"/>
  <c r="T1355" i="34"/>
  <c r="U1355" i="34"/>
  <c r="W1355" i="34"/>
  <c r="Y1355" i="34"/>
  <c r="Z1355" i="34"/>
  <c r="N1356" i="34"/>
  <c r="R1356" i="34"/>
  <c r="S1356" i="34"/>
  <c r="T1356" i="34"/>
  <c r="U1356" i="34"/>
  <c r="W1356" i="34"/>
  <c r="Y1356" i="34"/>
  <c r="Z1356" i="34"/>
  <c r="N1357" i="34"/>
  <c r="R1357" i="34"/>
  <c r="S1357" i="34"/>
  <c r="T1357" i="34"/>
  <c r="U1357" i="34"/>
  <c r="W1357" i="34"/>
  <c r="Y1357" i="34"/>
  <c r="Z1357" i="34"/>
  <c r="N1358" i="34"/>
  <c r="R1358" i="34"/>
  <c r="S1358" i="34"/>
  <c r="T1358" i="34"/>
  <c r="U1358" i="34"/>
  <c r="W1358" i="34"/>
  <c r="Y1358" i="34"/>
  <c r="Z1358" i="34"/>
  <c r="N1359" i="34"/>
  <c r="R1359" i="34"/>
  <c r="S1359" i="34"/>
  <c r="T1359" i="34"/>
  <c r="U1359" i="34"/>
  <c r="W1359" i="34"/>
  <c r="Y1359" i="34"/>
  <c r="Z1359" i="34"/>
  <c r="N1360" i="34"/>
  <c r="R1360" i="34"/>
  <c r="S1360" i="34"/>
  <c r="T1360" i="34"/>
  <c r="U1360" i="34"/>
  <c r="W1360" i="34"/>
  <c r="Y1360" i="34"/>
  <c r="Z1360" i="34"/>
  <c r="N1361" i="34"/>
  <c r="R1361" i="34"/>
  <c r="S1361" i="34"/>
  <c r="T1361" i="34"/>
  <c r="U1361" i="34"/>
  <c r="W1361" i="34"/>
  <c r="Y1361" i="34"/>
  <c r="Z1361" i="34"/>
  <c r="N1362" i="34"/>
  <c r="R1362" i="34"/>
  <c r="S1362" i="34"/>
  <c r="T1362" i="34"/>
  <c r="U1362" i="34"/>
  <c r="W1362" i="34"/>
  <c r="Y1362" i="34"/>
  <c r="Z1362" i="34"/>
  <c r="N1363" i="34"/>
  <c r="R1363" i="34"/>
  <c r="S1363" i="34"/>
  <c r="T1363" i="34"/>
  <c r="U1363" i="34"/>
  <c r="W1363" i="34"/>
  <c r="Y1363" i="34"/>
  <c r="Z1363" i="34"/>
  <c r="N1364" i="34"/>
  <c r="R1364" i="34"/>
  <c r="S1364" i="34"/>
  <c r="T1364" i="34"/>
  <c r="U1364" i="34"/>
  <c r="W1364" i="34"/>
  <c r="Y1364" i="34"/>
  <c r="Z1364" i="34"/>
  <c r="N1365" i="34"/>
  <c r="R1365" i="34"/>
  <c r="S1365" i="34"/>
  <c r="T1365" i="34"/>
  <c r="U1365" i="34"/>
  <c r="W1365" i="34"/>
  <c r="Y1365" i="34"/>
  <c r="Z1365" i="34"/>
  <c r="N1366" i="34"/>
  <c r="R1366" i="34"/>
  <c r="S1366" i="34"/>
  <c r="T1366" i="34"/>
  <c r="U1366" i="34"/>
  <c r="W1366" i="34"/>
  <c r="Y1366" i="34"/>
  <c r="Z1366" i="34"/>
  <c r="N1367" i="34"/>
  <c r="R1367" i="34"/>
  <c r="S1367" i="34"/>
  <c r="T1367" i="34"/>
  <c r="U1367" i="34"/>
  <c r="W1367" i="34"/>
  <c r="Y1367" i="34"/>
  <c r="Z1367" i="34"/>
  <c r="N1368" i="34"/>
  <c r="R1368" i="34"/>
  <c r="S1368" i="34"/>
  <c r="T1368" i="34"/>
  <c r="U1368" i="34"/>
  <c r="W1368" i="34"/>
  <c r="Y1368" i="34"/>
  <c r="Z1368" i="34"/>
  <c r="N1369" i="34"/>
  <c r="R1369" i="34"/>
  <c r="S1369" i="34"/>
  <c r="T1369" i="34"/>
  <c r="U1369" i="34"/>
  <c r="W1369" i="34"/>
  <c r="Y1369" i="34"/>
  <c r="Z1369" i="34"/>
  <c r="N1370" i="34"/>
  <c r="R1370" i="34"/>
  <c r="S1370" i="34"/>
  <c r="T1370" i="34"/>
  <c r="U1370" i="34"/>
  <c r="W1370" i="34"/>
  <c r="Y1370" i="34"/>
  <c r="Z1370" i="34"/>
  <c r="N1371" i="34"/>
  <c r="R1371" i="34"/>
  <c r="S1371" i="34"/>
  <c r="T1371" i="34"/>
  <c r="U1371" i="34"/>
  <c r="W1371" i="34"/>
  <c r="Y1371" i="34"/>
  <c r="Z1371" i="34"/>
  <c r="N1372" i="34"/>
  <c r="R1372" i="34"/>
  <c r="S1372" i="34"/>
  <c r="T1372" i="34"/>
  <c r="U1372" i="34"/>
  <c r="W1372" i="34"/>
  <c r="Y1372" i="34"/>
  <c r="Z1372" i="34"/>
  <c r="N1373" i="34"/>
  <c r="R1373" i="34"/>
  <c r="S1373" i="34"/>
  <c r="T1373" i="34"/>
  <c r="U1373" i="34"/>
  <c r="W1373" i="34"/>
  <c r="Y1373" i="34"/>
  <c r="Z1373" i="34"/>
  <c r="N1374" i="34"/>
  <c r="R1374" i="34"/>
  <c r="S1374" i="34"/>
  <c r="T1374" i="34"/>
  <c r="U1374" i="34"/>
  <c r="W1374" i="34"/>
  <c r="Y1374" i="34"/>
  <c r="Z1374" i="34"/>
  <c r="N1375" i="34"/>
  <c r="R1375" i="34"/>
  <c r="S1375" i="34"/>
  <c r="T1375" i="34"/>
  <c r="U1375" i="34"/>
  <c r="W1375" i="34"/>
  <c r="Y1375" i="34"/>
  <c r="Z1375" i="34"/>
  <c r="N1376" i="34"/>
  <c r="R1376" i="34"/>
  <c r="S1376" i="34"/>
  <c r="T1376" i="34"/>
  <c r="U1376" i="34"/>
  <c r="W1376" i="34"/>
  <c r="Y1376" i="34"/>
  <c r="Z1376" i="34"/>
  <c r="N1377" i="34"/>
  <c r="R1377" i="34"/>
  <c r="S1377" i="34"/>
  <c r="T1377" i="34"/>
  <c r="U1377" i="34"/>
  <c r="W1377" i="34"/>
  <c r="Y1377" i="34"/>
  <c r="Z1377" i="34"/>
  <c r="N1378" i="34"/>
  <c r="R1378" i="34"/>
  <c r="S1378" i="34"/>
  <c r="T1378" i="34"/>
  <c r="U1378" i="34"/>
  <c r="W1378" i="34"/>
  <c r="Y1378" i="34"/>
  <c r="Z1378" i="34"/>
  <c r="N1379" i="34"/>
  <c r="R1379" i="34"/>
  <c r="S1379" i="34"/>
  <c r="T1379" i="34"/>
  <c r="U1379" i="34"/>
  <c r="W1379" i="34"/>
  <c r="Y1379" i="34"/>
  <c r="Z1379" i="34"/>
  <c r="N1380" i="34"/>
  <c r="R1380" i="34"/>
  <c r="S1380" i="34"/>
  <c r="T1380" i="34"/>
  <c r="U1380" i="34"/>
  <c r="W1380" i="34"/>
  <c r="Y1380" i="34"/>
  <c r="Z1380" i="34"/>
  <c r="N1381" i="34"/>
  <c r="R1381" i="34"/>
  <c r="S1381" i="34"/>
  <c r="T1381" i="34"/>
  <c r="U1381" i="34"/>
  <c r="W1381" i="34"/>
  <c r="Y1381" i="34"/>
  <c r="Z1381" i="34"/>
  <c r="N1382" i="34"/>
  <c r="R1382" i="34"/>
  <c r="S1382" i="34"/>
  <c r="T1382" i="34"/>
  <c r="U1382" i="34"/>
  <c r="W1382" i="34"/>
  <c r="Y1382" i="34"/>
  <c r="Z1382" i="34"/>
  <c r="N1383" i="34"/>
  <c r="R1383" i="34"/>
  <c r="S1383" i="34"/>
  <c r="T1383" i="34"/>
  <c r="U1383" i="34"/>
  <c r="W1383" i="34"/>
  <c r="Y1383" i="34"/>
  <c r="Z1383" i="34"/>
  <c r="N1384" i="34"/>
  <c r="R1384" i="34"/>
  <c r="S1384" i="34"/>
  <c r="T1384" i="34"/>
  <c r="U1384" i="34"/>
  <c r="W1384" i="34"/>
  <c r="Y1384" i="34"/>
  <c r="Z1384" i="34"/>
  <c r="N1385" i="34"/>
  <c r="R1385" i="34"/>
  <c r="S1385" i="34"/>
  <c r="T1385" i="34"/>
  <c r="U1385" i="34"/>
  <c r="W1385" i="34"/>
  <c r="Y1385" i="34"/>
  <c r="Z1385" i="34"/>
  <c r="N1386" i="34"/>
  <c r="R1386" i="34"/>
  <c r="S1386" i="34"/>
  <c r="T1386" i="34"/>
  <c r="U1386" i="34"/>
  <c r="W1386" i="34"/>
  <c r="Y1386" i="34"/>
  <c r="Z1386" i="34"/>
  <c r="N1387" i="34"/>
  <c r="R1387" i="34"/>
  <c r="S1387" i="34"/>
  <c r="T1387" i="34"/>
  <c r="U1387" i="34"/>
  <c r="W1387" i="34"/>
  <c r="Y1387" i="34"/>
  <c r="Z1387" i="34"/>
  <c r="N1388" i="34"/>
  <c r="R1388" i="34"/>
  <c r="S1388" i="34"/>
  <c r="T1388" i="34"/>
  <c r="U1388" i="34"/>
  <c r="W1388" i="34"/>
  <c r="Y1388" i="34"/>
  <c r="Z1388" i="34"/>
  <c r="N1389" i="34"/>
  <c r="R1389" i="34"/>
  <c r="S1389" i="34"/>
  <c r="T1389" i="34"/>
  <c r="U1389" i="34"/>
  <c r="W1389" i="34"/>
  <c r="Y1389" i="34"/>
  <c r="Z1389" i="34"/>
  <c r="N1390" i="34"/>
  <c r="R1390" i="34"/>
  <c r="S1390" i="34"/>
  <c r="T1390" i="34"/>
  <c r="U1390" i="34"/>
  <c r="W1390" i="34"/>
  <c r="Y1390" i="34"/>
  <c r="Z1390" i="34"/>
  <c r="N1391" i="34"/>
  <c r="R1391" i="34"/>
  <c r="S1391" i="34"/>
  <c r="T1391" i="34"/>
  <c r="U1391" i="34"/>
  <c r="W1391" i="34"/>
  <c r="Y1391" i="34"/>
  <c r="Z1391" i="34"/>
  <c r="N1392" i="34"/>
  <c r="R1392" i="34"/>
  <c r="S1392" i="34"/>
  <c r="T1392" i="34"/>
  <c r="U1392" i="34"/>
  <c r="W1392" i="34"/>
  <c r="Y1392" i="34"/>
  <c r="Z1392" i="34"/>
  <c r="N1393" i="34"/>
  <c r="R1393" i="34"/>
  <c r="S1393" i="34"/>
  <c r="T1393" i="34"/>
  <c r="U1393" i="34"/>
  <c r="W1393" i="34"/>
  <c r="Y1393" i="34"/>
  <c r="Z1393" i="34"/>
  <c r="N1394" i="34"/>
  <c r="R1394" i="34"/>
  <c r="S1394" i="34"/>
  <c r="T1394" i="34"/>
  <c r="U1394" i="34"/>
  <c r="W1394" i="34"/>
  <c r="Y1394" i="34"/>
  <c r="Z1394" i="34"/>
  <c r="N1395" i="34"/>
  <c r="R1395" i="34"/>
  <c r="S1395" i="34"/>
  <c r="T1395" i="34"/>
  <c r="U1395" i="34"/>
  <c r="W1395" i="34"/>
  <c r="Y1395" i="34"/>
  <c r="Z1395" i="34"/>
  <c r="N1396" i="34"/>
  <c r="R1396" i="34"/>
  <c r="S1396" i="34"/>
  <c r="T1396" i="34"/>
  <c r="U1396" i="34"/>
  <c r="W1396" i="34"/>
  <c r="Y1396" i="34"/>
  <c r="Z1396" i="34"/>
  <c r="N1397" i="34"/>
  <c r="R1397" i="34"/>
  <c r="S1397" i="34"/>
  <c r="T1397" i="34"/>
  <c r="U1397" i="34"/>
  <c r="W1397" i="34"/>
  <c r="Y1397" i="34"/>
  <c r="Z1397" i="34"/>
  <c r="N1398" i="34"/>
  <c r="R1398" i="34"/>
  <c r="S1398" i="34"/>
  <c r="T1398" i="34"/>
  <c r="U1398" i="34"/>
  <c r="W1398" i="34"/>
  <c r="Y1398" i="34"/>
  <c r="Z1398" i="34"/>
  <c r="N1399" i="34"/>
  <c r="R1399" i="34"/>
  <c r="S1399" i="34"/>
  <c r="T1399" i="34"/>
  <c r="U1399" i="34"/>
  <c r="W1399" i="34"/>
  <c r="Y1399" i="34"/>
  <c r="Z1399" i="34"/>
  <c r="N1400" i="34"/>
  <c r="R1400" i="34"/>
  <c r="S1400" i="34"/>
  <c r="T1400" i="34"/>
  <c r="U1400" i="34"/>
  <c r="W1400" i="34"/>
  <c r="Y1400" i="34"/>
  <c r="Z1400" i="34"/>
  <c r="N1401" i="34"/>
  <c r="R1401" i="34"/>
  <c r="S1401" i="34"/>
  <c r="T1401" i="34"/>
  <c r="U1401" i="34"/>
  <c r="W1401" i="34"/>
  <c r="Y1401" i="34"/>
  <c r="Z1401" i="34"/>
  <c r="N1402" i="34"/>
  <c r="R1402" i="34"/>
  <c r="S1402" i="34"/>
  <c r="T1402" i="34"/>
  <c r="U1402" i="34"/>
  <c r="W1402" i="34"/>
  <c r="Y1402" i="34"/>
  <c r="Z1402" i="34"/>
  <c r="N1403" i="34"/>
  <c r="R1403" i="34"/>
  <c r="S1403" i="34"/>
  <c r="T1403" i="34"/>
  <c r="U1403" i="34"/>
  <c r="W1403" i="34"/>
  <c r="Y1403" i="34"/>
  <c r="Z1403" i="34"/>
  <c r="N1404" i="34"/>
  <c r="R1404" i="34"/>
  <c r="S1404" i="34"/>
  <c r="T1404" i="34"/>
  <c r="U1404" i="34"/>
  <c r="W1404" i="34"/>
  <c r="Y1404" i="34"/>
  <c r="Z1404" i="34"/>
  <c r="N1405" i="34"/>
  <c r="R1405" i="34"/>
  <c r="S1405" i="34"/>
  <c r="T1405" i="34"/>
  <c r="U1405" i="34"/>
  <c r="W1405" i="34"/>
  <c r="Y1405" i="34"/>
  <c r="Z1405" i="34"/>
  <c r="N1406" i="34"/>
  <c r="R1406" i="34"/>
  <c r="S1406" i="34"/>
  <c r="T1406" i="34"/>
  <c r="U1406" i="34"/>
  <c r="W1406" i="34"/>
  <c r="Y1406" i="34"/>
  <c r="Z1406" i="34"/>
  <c r="N1407" i="34"/>
  <c r="R1407" i="34"/>
  <c r="S1407" i="34"/>
  <c r="T1407" i="34"/>
  <c r="U1407" i="34"/>
  <c r="W1407" i="34"/>
  <c r="Y1407" i="34"/>
  <c r="Z1407" i="34"/>
  <c r="N1408" i="34"/>
  <c r="R1408" i="34"/>
  <c r="S1408" i="34"/>
  <c r="T1408" i="34"/>
  <c r="U1408" i="34"/>
  <c r="W1408" i="34"/>
  <c r="Y1408" i="34"/>
  <c r="Z1408" i="34"/>
  <c r="N1409" i="34"/>
  <c r="R1409" i="34"/>
  <c r="S1409" i="34"/>
  <c r="T1409" i="34"/>
  <c r="U1409" i="34"/>
  <c r="W1409" i="34"/>
  <c r="Y1409" i="34"/>
  <c r="Z1409" i="34"/>
  <c r="N1410" i="34"/>
  <c r="R1410" i="34"/>
  <c r="S1410" i="34"/>
  <c r="T1410" i="34"/>
  <c r="U1410" i="34"/>
  <c r="W1410" i="34"/>
  <c r="Y1410" i="34"/>
  <c r="Z1410" i="34"/>
  <c r="N1411" i="34"/>
  <c r="R1411" i="34"/>
  <c r="S1411" i="34"/>
  <c r="T1411" i="34"/>
  <c r="U1411" i="34"/>
  <c r="W1411" i="34"/>
  <c r="Y1411" i="34"/>
  <c r="Z1411" i="34"/>
  <c r="N1412" i="34"/>
  <c r="R1412" i="34"/>
  <c r="S1412" i="34"/>
  <c r="T1412" i="34"/>
  <c r="U1412" i="34"/>
  <c r="W1412" i="34"/>
  <c r="Y1412" i="34"/>
  <c r="Z1412" i="34"/>
  <c r="N1413" i="34"/>
  <c r="R1413" i="34"/>
  <c r="S1413" i="34"/>
  <c r="T1413" i="34"/>
  <c r="U1413" i="34"/>
  <c r="W1413" i="34"/>
  <c r="Y1413" i="34"/>
  <c r="Z1413" i="34"/>
  <c r="N1414" i="34"/>
  <c r="R1414" i="34"/>
  <c r="S1414" i="34"/>
  <c r="T1414" i="34"/>
  <c r="U1414" i="34"/>
  <c r="W1414" i="34"/>
  <c r="Y1414" i="34"/>
  <c r="Z1414" i="34"/>
  <c r="N1415" i="34"/>
  <c r="R1415" i="34"/>
  <c r="S1415" i="34"/>
  <c r="T1415" i="34"/>
  <c r="U1415" i="34"/>
  <c r="W1415" i="34"/>
  <c r="Y1415" i="34"/>
  <c r="Z1415" i="34"/>
  <c r="N1416" i="34"/>
  <c r="R1416" i="34"/>
  <c r="S1416" i="34"/>
  <c r="T1416" i="34"/>
  <c r="U1416" i="34"/>
  <c r="W1416" i="34"/>
  <c r="Y1416" i="34"/>
  <c r="Z1416" i="34"/>
  <c r="N1417" i="34"/>
  <c r="R1417" i="34"/>
  <c r="S1417" i="34"/>
  <c r="T1417" i="34"/>
  <c r="U1417" i="34"/>
  <c r="W1417" i="34"/>
  <c r="Y1417" i="34"/>
  <c r="Z1417" i="34"/>
  <c r="N1418" i="34"/>
  <c r="R1418" i="34"/>
  <c r="S1418" i="34"/>
  <c r="T1418" i="34"/>
  <c r="U1418" i="34"/>
  <c r="W1418" i="34"/>
  <c r="Y1418" i="34"/>
  <c r="Z1418" i="34"/>
  <c r="N1419" i="34"/>
  <c r="R1419" i="34"/>
  <c r="S1419" i="34"/>
  <c r="T1419" i="34"/>
  <c r="U1419" i="34"/>
  <c r="W1419" i="34"/>
  <c r="Y1419" i="34"/>
  <c r="Z1419" i="34"/>
  <c r="N1420" i="34"/>
  <c r="R1420" i="34"/>
  <c r="S1420" i="34"/>
  <c r="T1420" i="34"/>
  <c r="U1420" i="34"/>
  <c r="W1420" i="34"/>
  <c r="Y1420" i="34"/>
  <c r="Z1420" i="34"/>
  <c r="N1421" i="34"/>
  <c r="R1421" i="34"/>
  <c r="S1421" i="34"/>
  <c r="T1421" i="34"/>
  <c r="U1421" i="34"/>
  <c r="W1421" i="34"/>
  <c r="Y1421" i="34"/>
  <c r="Z1421" i="34"/>
  <c r="N1422" i="34"/>
  <c r="R1422" i="34"/>
  <c r="S1422" i="34"/>
  <c r="T1422" i="34"/>
  <c r="U1422" i="34"/>
  <c r="W1422" i="34"/>
  <c r="Y1422" i="34"/>
  <c r="Z1422" i="34"/>
  <c r="N1423" i="34"/>
  <c r="R1423" i="34"/>
  <c r="S1423" i="34"/>
  <c r="T1423" i="34"/>
  <c r="U1423" i="34"/>
  <c r="W1423" i="34"/>
  <c r="Y1423" i="34"/>
  <c r="Z1423" i="34"/>
  <c r="N1424" i="34"/>
  <c r="R1424" i="34"/>
  <c r="S1424" i="34"/>
  <c r="T1424" i="34"/>
  <c r="U1424" i="34"/>
  <c r="W1424" i="34"/>
  <c r="Y1424" i="34"/>
  <c r="Z1424" i="34"/>
  <c r="N1425" i="34"/>
  <c r="R1425" i="34"/>
  <c r="S1425" i="34"/>
  <c r="T1425" i="34"/>
  <c r="U1425" i="34"/>
  <c r="W1425" i="34"/>
  <c r="Y1425" i="34"/>
  <c r="Z1425" i="34"/>
  <c r="N1426" i="34"/>
  <c r="R1426" i="34"/>
  <c r="S1426" i="34"/>
  <c r="T1426" i="34"/>
  <c r="U1426" i="34"/>
  <c r="W1426" i="34"/>
  <c r="Y1426" i="34"/>
  <c r="Z1426" i="34"/>
  <c r="N1427" i="34"/>
  <c r="R1427" i="34"/>
  <c r="S1427" i="34"/>
  <c r="T1427" i="34"/>
  <c r="U1427" i="34"/>
  <c r="W1427" i="34"/>
  <c r="Y1427" i="34"/>
  <c r="Z1427" i="34"/>
  <c r="N1428" i="34"/>
  <c r="R1428" i="34"/>
  <c r="S1428" i="34"/>
  <c r="T1428" i="34"/>
  <c r="U1428" i="34"/>
  <c r="W1428" i="34"/>
  <c r="Y1428" i="34"/>
  <c r="Z1428" i="34"/>
  <c r="N1429" i="34"/>
  <c r="R1429" i="34"/>
  <c r="S1429" i="34"/>
  <c r="T1429" i="34"/>
  <c r="U1429" i="34"/>
  <c r="W1429" i="34"/>
  <c r="Y1429" i="34"/>
  <c r="Z1429" i="34"/>
  <c r="N1430" i="34"/>
  <c r="R1430" i="34"/>
  <c r="S1430" i="34"/>
  <c r="T1430" i="34"/>
  <c r="U1430" i="34"/>
  <c r="W1430" i="34"/>
  <c r="Y1430" i="34"/>
  <c r="Z1430" i="34"/>
  <c r="N1431" i="34"/>
  <c r="R1431" i="34"/>
  <c r="S1431" i="34"/>
  <c r="T1431" i="34"/>
  <c r="U1431" i="34"/>
  <c r="W1431" i="34"/>
  <c r="Y1431" i="34"/>
  <c r="Z1431" i="34"/>
  <c r="N1432" i="34"/>
  <c r="R1432" i="34"/>
  <c r="S1432" i="34"/>
  <c r="T1432" i="34"/>
  <c r="U1432" i="34"/>
  <c r="W1432" i="34"/>
  <c r="Y1432" i="34"/>
  <c r="Z1432" i="34"/>
  <c r="N1433" i="34"/>
  <c r="R1433" i="34"/>
  <c r="S1433" i="34"/>
  <c r="T1433" i="34"/>
  <c r="U1433" i="34"/>
  <c r="W1433" i="34"/>
  <c r="Y1433" i="34"/>
  <c r="Z1433" i="34"/>
  <c r="N1434" i="34"/>
  <c r="R1434" i="34"/>
  <c r="S1434" i="34"/>
  <c r="T1434" i="34"/>
  <c r="U1434" i="34"/>
  <c r="W1434" i="34"/>
  <c r="Y1434" i="34"/>
  <c r="Z1434" i="34"/>
  <c r="N1435" i="34"/>
  <c r="R1435" i="34"/>
  <c r="S1435" i="34"/>
  <c r="T1435" i="34"/>
  <c r="U1435" i="34"/>
  <c r="W1435" i="34"/>
  <c r="Y1435" i="34"/>
  <c r="Z1435" i="34"/>
  <c r="N1436" i="34"/>
  <c r="R1436" i="34"/>
  <c r="S1436" i="34"/>
  <c r="T1436" i="34"/>
  <c r="U1436" i="34"/>
  <c r="W1436" i="34"/>
  <c r="Y1436" i="34"/>
  <c r="Z1436" i="34"/>
  <c r="N1437" i="34"/>
  <c r="R1437" i="34"/>
  <c r="S1437" i="34"/>
  <c r="T1437" i="34"/>
  <c r="U1437" i="34"/>
  <c r="W1437" i="34"/>
  <c r="Y1437" i="34"/>
  <c r="Z1437" i="34"/>
  <c r="N1438" i="34"/>
  <c r="R1438" i="34"/>
  <c r="S1438" i="34"/>
  <c r="T1438" i="34"/>
  <c r="U1438" i="34"/>
  <c r="W1438" i="34"/>
  <c r="Y1438" i="34"/>
  <c r="Z1438" i="34"/>
  <c r="N1439" i="34"/>
  <c r="R1439" i="34"/>
  <c r="S1439" i="34"/>
  <c r="T1439" i="34"/>
  <c r="U1439" i="34"/>
  <c r="W1439" i="34"/>
  <c r="Y1439" i="34"/>
  <c r="Z1439" i="34"/>
  <c r="N1440" i="34"/>
  <c r="R1440" i="34"/>
  <c r="S1440" i="34"/>
  <c r="T1440" i="34"/>
  <c r="U1440" i="34"/>
  <c r="W1440" i="34"/>
  <c r="Y1440" i="34"/>
  <c r="Z1440" i="34"/>
  <c r="N1441" i="34"/>
  <c r="R1441" i="34"/>
  <c r="S1441" i="34"/>
  <c r="T1441" i="34"/>
  <c r="U1441" i="34"/>
  <c r="W1441" i="34"/>
  <c r="Y1441" i="34"/>
  <c r="Z1441" i="34"/>
  <c r="N1442" i="34"/>
  <c r="R1442" i="34"/>
  <c r="S1442" i="34"/>
  <c r="T1442" i="34"/>
  <c r="U1442" i="34"/>
  <c r="W1442" i="34"/>
  <c r="Y1442" i="34"/>
  <c r="Z1442" i="34"/>
  <c r="N1443" i="34"/>
  <c r="R1443" i="34"/>
  <c r="S1443" i="34"/>
  <c r="T1443" i="34"/>
  <c r="U1443" i="34"/>
  <c r="W1443" i="34"/>
  <c r="Y1443" i="34"/>
  <c r="Z1443" i="34"/>
  <c r="N1444" i="34"/>
  <c r="R1444" i="34"/>
  <c r="S1444" i="34"/>
  <c r="T1444" i="34"/>
  <c r="U1444" i="34"/>
  <c r="W1444" i="34"/>
  <c r="Y1444" i="34"/>
  <c r="Z1444" i="34"/>
  <c r="N1445" i="34"/>
  <c r="R1445" i="34"/>
  <c r="S1445" i="34"/>
  <c r="T1445" i="34"/>
  <c r="U1445" i="34"/>
  <c r="W1445" i="34"/>
  <c r="Y1445" i="34"/>
  <c r="Z1445" i="34"/>
  <c r="N1446" i="34"/>
  <c r="R1446" i="34"/>
  <c r="S1446" i="34"/>
  <c r="T1446" i="34"/>
  <c r="U1446" i="34"/>
  <c r="W1446" i="34"/>
  <c r="Y1446" i="34"/>
  <c r="Z1446" i="34"/>
  <c r="N1447" i="34"/>
  <c r="R1447" i="34"/>
  <c r="S1447" i="34"/>
  <c r="T1447" i="34"/>
  <c r="U1447" i="34"/>
  <c r="W1447" i="34"/>
  <c r="Y1447" i="34"/>
  <c r="Z1447" i="34"/>
  <c r="N1448" i="34"/>
  <c r="R1448" i="34"/>
  <c r="S1448" i="34"/>
  <c r="T1448" i="34"/>
  <c r="U1448" i="34"/>
  <c r="W1448" i="34"/>
  <c r="Y1448" i="34"/>
  <c r="Z1448" i="34"/>
  <c r="N1449" i="34"/>
  <c r="R1449" i="34"/>
  <c r="S1449" i="34"/>
  <c r="T1449" i="34"/>
  <c r="U1449" i="34"/>
  <c r="W1449" i="34"/>
  <c r="Y1449" i="34"/>
  <c r="Z1449" i="34"/>
  <c r="N1450" i="34"/>
  <c r="R1450" i="34"/>
  <c r="S1450" i="34"/>
  <c r="T1450" i="34"/>
  <c r="U1450" i="34"/>
  <c r="W1450" i="34"/>
  <c r="Y1450" i="34"/>
  <c r="Z1450" i="34"/>
  <c r="N1451" i="34"/>
  <c r="R1451" i="34"/>
  <c r="S1451" i="34"/>
  <c r="T1451" i="34"/>
  <c r="U1451" i="34"/>
  <c r="W1451" i="34"/>
  <c r="Y1451" i="34"/>
  <c r="Z1451" i="34"/>
  <c r="N1452" i="34"/>
  <c r="R1452" i="34"/>
  <c r="S1452" i="34"/>
  <c r="T1452" i="34"/>
  <c r="U1452" i="34"/>
  <c r="W1452" i="34"/>
  <c r="Y1452" i="34"/>
  <c r="Z1452" i="34"/>
  <c r="N1453" i="34"/>
  <c r="R1453" i="34"/>
  <c r="S1453" i="34"/>
  <c r="T1453" i="34"/>
  <c r="U1453" i="34"/>
  <c r="W1453" i="34"/>
  <c r="Y1453" i="34"/>
  <c r="Z1453" i="34"/>
  <c r="N1454" i="34"/>
  <c r="R1454" i="34"/>
  <c r="S1454" i="34"/>
  <c r="T1454" i="34"/>
  <c r="U1454" i="34"/>
  <c r="W1454" i="34"/>
  <c r="Y1454" i="34"/>
  <c r="Z1454" i="34"/>
  <c r="N1455" i="34"/>
  <c r="R1455" i="34"/>
  <c r="S1455" i="34"/>
  <c r="T1455" i="34"/>
  <c r="U1455" i="34"/>
  <c r="W1455" i="34"/>
  <c r="Y1455" i="34"/>
  <c r="Z1455" i="34"/>
  <c r="N1456" i="34"/>
  <c r="R1456" i="34"/>
  <c r="S1456" i="34"/>
  <c r="T1456" i="34"/>
  <c r="U1456" i="34"/>
  <c r="W1456" i="34"/>
  <c r="Y1456" i="34"/>
  <c r="Z1456" i="34"/>
  <c r="N1457" i="34"/>
  <c r="R1457" i="34"/>
  <c r="S1457" i="34"/>
  <c r="T1457" i="34"/>
  <c r="U1457" i="34"/>
  <c r="W1457" i="34"/>
  <c r="Y1457" i="34"/>
  <c r="Z1457" i="34"/>
  <c r="N1458" i="34"/>
  <c r="R1458" i="34"/>
  <c r="S1458" i="34"/>
  <c r="T1458" i="34"/>
  <c r="U1458" i="34"/>
  <c r="W1458" i="34"/>
  <c r="Y1458" i="34"/>
  <c r="Z1458" i="34"/>
  <c r="N1459" i="34"/>
  <c r="R1459" i="34"/>
  <c r="S1459" i="34"/>
  <c r="T1459" i="34"/>
  <c r="U1459" i="34"/>
  <c r="W1459" i="34"/>
  <c r="Y1459" i="34"/>
  <c r="Z1459" i="34"/>
  <c r="N1460" i="34"/>
  <c r="R1460" i="34"/>
  <c r="S1460" i="34"/>
  <c r="T1460" i="34"/>
  <c r="U1460" i="34"/>
  <c r="W1460" i="34"/>
  <c r="Y1460" i="34"/>
  <c r="Z1460" i="34"/>
  <c r="N1461" i="34"/>
  <c r="R1461" i="34"/>
  <c r="S1461" i="34"/>
  <c r="T1461" i="34"/>
  <c r="U1461" i="34"/>
  <c r="W1461" i="34"/>
  <c r="Y1461" i="34"/>
  <c r="Z1461" i="34"/>
  <c r="N1462" i="34"/>
  <c r="R1462" i="34"/>
  <c r="S1462" i="34"/>
  <c r="T1462" i="34"/>
  <c r="U1462" i="34"/>
  <c r="W1462" i="34"/>
  <c r="Y1462" i="34"/>
  <c r="Z1462" i="34"/>
  <c r="N1463" i="34"/>
  <c r="R1463" i="34"/>
  <c r="S1463" i="34"/>
  <c r="T1463" i="34"/>
  <c r="U1463" i="34"/>
  <c r="W1463" i="34"/>
  <c r="Y1463" i="34"/>
  <c r="Z1463" i="34"/>
  <c r="N1464" i="34"/>
  <c r="R1464" i="34"/>
  <c r="S1464" i="34"/>
  <c r="T1464" i="34"/>
  <c r="U1464" i="34"/>
  <c r="W1464" i="34"/>
  <c r="Y1464" i="34"/>
  <c r="Z1464" i="34"/>
  <c r="N1465" i="34"/>
  <c r="R1465" i="34"/>
  <c r="S1465" i="34"/>
  <c r="T1465" i="34"/>
  <c r="U1465" i="34"/>
  <c r="W1465" i="34"/>
  <c r="Y1465" i="34"/>
  <c r="Z1465" i="34"/>
  <c r="N1466" i="34"/>
  <c r="R1466" i="34"/>
  <c r="S1466" i="34"/>
  <c r="T1466" i="34"/>
  <c r="U1466" i="34"/>
  <c r="W1466" i="34"/>
  <c r="Y1466" i="34"/>
  <c r="Z1466" i="34"/>
  <c r="N1467" i="34"/>
  <c r="R1467" i="34"/>
  <c r="S1467" i="34"/>
  <c r="T1467" i="34"/>
  <c r="U1467" i="34"/>
  <c r="W1467" i="34"/>
  <c r="Y1467" i="34"/>
  <c r="Z1467" i="34"/>
  <c r="N1468" i="34"/>
  <c r="R1468" i="34"/>
  <c r="S1468" i="34"/>
  <c r="T1468" i="34"/>
  <c r="U1468" i="34"/>
  <c r="W1468" i="34"/>
  <c r="Y1468" i="34"/>
  <c r="Z1468" i="34"/>
  <c r="N1469" i="34"/>
  <c r="R1469" i="34"/>
  <c r="S1469" i="34"/>
  <c r="T1469" i="34"/>
  <c r="U1469" i="34"/>
  <c r="W1469" i="34"/>
  <c r="Y1469" i="34"/>
  <c r="Z1469" i="34"/>
  <c r="N1470" i="34"/>
  <c r="R1470" i="34"/>
  <c r="S1470" i="34"/>
  <c r="T1470" i="34"/>
  <c r="U1470" i="34"/>
  <c r="W1470" i="34"/>
  <c r="Y1470" i="34"/>
  <c r="Z1470" i="34"/>
  <c r="N1471" i="34"/>
  <c r="R1471" i="34"/>
  <c r="S1471" i="34"/>
  <c r="T1471" i="34"/>
  <c r="U1471" i="34"/>
  <c r="W1471" i="34"/>
  <c r="Y1471" i="34"/>
  <c r="Z1471" i="34"/>
  <c r="N1472" i="34"/>
  <c r="R1472" i="34"/>
  <c r="S1472" i="34"/>
  <c r="T1472" i="34"/>
  <c r="U1472" i="34"/>
  <c r="W1472" i="34"/>
  <c r="Y1472" i="34"/>
  <c r="Z1472" i="34"/>
  <c r="N1473" i="34"/>
  <c r="R1473" i="34"/>
  <c r="S1473" i="34"/>
  <c r="T1473" i="34"/>
  <c r="U1473" i="34"/>
  <c r="W1473" i="34"/>
  <c r="Y1473" i="34"/>
  <c r="Z1473" i="34"/>
  <c r="N1474" i="34"/>
  <c r="R1474" i="34"/>
  <c r="S1474" i="34"/>
  <c r="T1474" i="34"/>
  <c r="U1474" i="34"/>
  <c r="W1474" i="34"/>
  <c r="Y1474" i="34"/>
  <c r="Z1474" i="34"/>
  <c r="N1475" i="34"/>
  <c r="R1475" i="34"/>
  <c r="S1475" i="34"/>
  <c r="T1475" i="34"/>
  <c r="U1475" i="34"/>
  <c r="W1475" i="34"/>
  <c r="Y1475" i="34"/>
  <c r="Z1475" i="34"/>
  <c r="N1476" i="34"/>
  <c r="R1476" i="34"/>
  <c r="S1476" i="34"/>
  <c r="T1476" i="34"/>
  <c r="U1476" i="34"/>
  <c r="W1476" i="34"/>
  <c r="Y1476" i="34"/>
  <c r="Z1476" i="34"/>
  <c r="N1477" i="34"/>
  <c r="R1477" i="34"/>
  <c r="S1477" i="34"/>
  <c r="T1477" i="34"/>
  <c r="U1477" i="34"/>
  <c r="W1477" i="34"/>
  <c r="Y1477" i="34"/>
  <c r="Z1477" i="34"/>
  <c r="N1478" i="34"/>
  <c r="R1478" i="34"/>
  <c r="S1478" i="34"/>
  <c r="T1478" i="34"/>
  <c r="U1478" i="34"/>
  <c r="W1478" i="34"/>
  <c r="Y1478" i="34"/>
  <c r="Z1478" i="34"/>
  <c r="N1479" i="34"/>
  <c r="R1479" i="34"/>
  <c r="S1479" i="34"/>
  <c r="T1479" i="34"/>
  <c r="U1479" i="34"/>
  <c r="W1479" i="34"/>
  <c r="Y1479" i="34"/>
  <c r="Z1479" i="34"/>
  <c r="N1480" i="34"/>
  <c r="R1480" i="34"/>
  <c r="S1480" i="34"/>
  <c r="T1480" i="34"/>
  <c r="U1480" i="34"/>
  <c r="W1480" i="34"/>
  <c r="Y1480" i="34"/>
  <c r="Z1480" i="34"/>
  <c r="N1481" i="34"/>
  <c r="R1481" i="34"/>
  <c r="S1481" i="34"/>
  <c r="T1481" i="34"/>
  <c r="U1481" i="34"/>
  <c r="W1481" i="34"/>
  <c r="Y1481" i="34"/>
  <c r="Z1481" i="34"/>
  <c r="N1482" i="34"/>
  <c r="R1482" i="34"/>
  <c r="S1482" i="34"/>
  <c r="T1482" i="34"/>
  <c r="U1482" i="34"/>
  <c r="W1482" i="34"/>
  <c r="Y1482" i="34"/>
  <c r="Z1482" i="34"/>
  <c r="N1483" i="34"/>
  <c r="R1483" i="34"/>
  <c r="S1483" i="34"/>
  <c r="T1483" i="34"/>
  <c r="U1483" i="34"/>
  <c r="W1483" i="34"/>
  <c r="Y1483" i="34"/>
  <c r="Z1483" i="34"/>
  <c r="N1484" i="34"/>
  <c r="R1484" i="34"/>
  <c r="S1484" i="34"/>
  <c r="T1484" i="34"/>
  <c r="U1484" i="34"/>
  <c r="W1484" i="34"/>
  <c r="Y1484" i="34"/>
  <c r="Z1484" i="34"/>
  <c r="N1485" i="34"/>
  <c r="R1485" i="34"/>
  <c r="S1485" i="34"/>
  <c r="T1485" i="34"/>
  <c r="U1485" i="34"/>
  <c r="W1485" i="34"/>
  <c r="Y1485" i="34"/>
  <c r="Z1485" i="34"/>
  <c r="N1486" i="34"/>
  <c r="R1486" i="34"/>
  <c r="S1486" i="34"/>
  <c r="T1486" i="34"/>
  <c r="U1486" i="34"/>
  <c r="W1486" i="34"/>
  <c r="Y1486" i="34"/>
  <c r="Z1486" i="34"/>
  <c r="N1487" i="34"/>
  <c r="R1487" i="34"/>
  <c r="S1487" i="34"/>
  <c r="T1487" i="34"/>
  <c r="U1487" i="34"/>
  <c r="W1487" i="34"/>
  <c r="Y1487" i="34"/>
  <c r="Z1487" i="34"/>
  <c r="N1488" i="34"/>
  <c r="R1488" i="34"/>
  <c r="S1488" i="34"/>
  <c r="T1488" i="34"/>
  <c r="U1488" i="34"/>
  <c r="W1488" i="34"/>
  <c r="Y1488" i="34"/>
  <c r="Z1488" i="34"/>
  <c r="N1489" i="34"/>
  <c r="R1489" i="34"/>
  <c r="S1489" i="34"/>
  <c r="T1489" i="34"/>
  <c r="U1489" i="34"/>
  <c r="W1489" i="34"/>
  <c r="Y1489" i="34"/>
  <c r="Z1489" i="34"/>
  <c r="N1490" i="34"/>
  <c r="R1490" i="34"/>
  <c r="S1490" i="34"/>
  <c r="T1490" i="34"/>
  <c r="U1490" i="34"/>
  <c r="W1490" i="34"/>
  <c r="Y1490" i="34"/>
  <c r="Z1490" i="34"/>
  <c r="N1491" i="34"/>
  <c r="R1491" i="34"/>
  <c r="S1491" i="34"/>
  <c r="T1491" i="34"/>
  <c r="U1491" i="34"/>
  <c r="W1491" i="34"/>
  <c r="Y1491" i="34"/>
  <c r="Z1491" i="34"/>
  <c r="N1492" i="34"/>
  <c r="R1492" i="34"/>
  <c r="S1492" i="34"/>
  <c r="T1492" i="34"/>
  <c r="U1492" i="34"/>
  <c r="W1492" i="34"/>
  <c r="Y1492" i="34"/>
  <c r="Z1492" i="34"/>
  <c r="N1493" i="34"/>
  <c r="R1493" i="34"/>
  <c r="S1493" i="34"/>
  <c r="T1493" i="34"/>
  <c r="U1493" i="34"/>
  <c r="W1493" i="34"/>
  <c r="Y1493" i="34"/>
  <c r="Z1493" i="34"/>
  <c r="N1494" i="34"/>
  <c r="R1494" i="34"/>
  <c r="S1494" i="34"/>
  <c r="T1494" i="34"/>
  <c r="U1494" i="34"/>
  <c r="W1494" i="34"/>
  <c r="Y1494" i="34"/>
  <c r="Z1494" i="34"/>
  <c r="N1495" i="34"/>
  <c r="R1495" i="34"/>
  <c r="S1495" i="34"/>
  <c r="T1495" i="34"/>
  <c r="U1495" i="34"/>
  <c r="W1495" i="34"/>
  <c r="Y1495" i="34"/>
  <c r="Z1495" i="34"/>
  <c r="N1496" i="34"/>
  <c r="R1496" i="34"/>
  <c r="S1496" i="34"/>
  <c r="T1496" i="34"/>
  <c r="U1496" i="34"/>
  <c r="W1496" i="34"/>
  <c r="Y1496" i="34"/>
  <c r="Z1496" i="34"/>
  <c r="N1497" i="34"/>
  <c r="R1497" i="34"/>
  <c r="S1497" i="34"/>
  <c r="T1497" i="34"/>
  <c r="U1497" i="34"/>
  <c r="W1497" i="34"/>
  <c r="Y1497" i="34"/>
  <c r="Z1497" i="34"/>
  <c r="N1498" i="34"/>
  <c r="R1498" i="34"/>
  <c r="S1498" i="34"/>
  <c r="T1498" i="34"/>
  <c r="U1498" i="34"/>
  <c r="W1498" i="34"/>
  <c r="Y1498" i="34"/>
  <c r="Z1498" i="34"/>
  <c r="N1499" i="34"/>
  <c r="R1499" i="34"/>
  <c r="S1499" i="34"/>
  <c r="T1499" i="34"/>
  <c r="U1499" i="34"/>
  <c r="W1499" i="34"/>
  <c r="Y1499" i="34"/>
  <c r="Z1499" i="34"/>
  <c r="N1500" i="34"/>
  <c r="R1500" i="34"/>
  <c r="S1500" i="34"/>
  <c r="T1500" i="34"/>
  <c r="U1500" i="34"/>
  <c r="W1500" i="34"/>
  <c r="Y1500" i="34"/>
  <c r="Z1500" i="34"/>
  <c r="N1501" i="34"/>
  <c r="R1501" i="34"/>
  <c r="S1501" i="34"/>
  <c r="T1501" i="34"/>
  <c r="U1501" i="34"/>
  <c r="W1501" i="34"/>
  <c r="Y1501" i="34"/>
  <c r="Z1501" i="34"/>
  <c r="N1502" i="34"/>
  <c r="R1502" i="34"/>
  <c r="S1502" i="34"/>
  <c r="T1502" i="34"/>
  <c r="U1502" i="34"/>
  <c r="W1502" i="34"/>
  <c r="Y1502" i="34"/>
  <c r="Z1502" i="34"/>
  <c r="N1503" i="34"/>
  <c r="R1503" i="34"/>
  <c r="S1503" i="34"/>
  <c r="T1503" i="34"/>
  <c r="U1503" i="34"/>
  <c r="W1503" i="34"/>
  <c r="Y1503" i="34"/>
  <c r="Z1503" i="34"/>
  <c r="N1504" i="34"/>
  <c r="R1504" i="34"/>
  <c r="S1504" i="34"/>
  <c r="T1504" i="34"/>
  <c r="U1504" i="34"/>
  <c r="W1504" i="34"/>
  <c r="Y1504" i="34"/>
  <c r="Z1504" i="34"/>
  <c r="N1505" i="34"/>
  <c r="R1505" i="34"/>
  <c r="S1505" i="34"/>
  <c r="T1505" i="34"/>
  <c r="U1505" i="34"/>
  <c r="W1505" i="34"/>
  <c r="Y1505" i="34"/>
  <c r="Z1505" i="34"/>
  <c r="N1506" i="34"/>
  <c r="R1506" i="34"/>
  <c r="S1506" i="34"/>
  <c r="T1506" i="34"/>
  <c r="U1506" i="34"/>
  <c r="W1506" i="34"/>
  <c r="Y1506" i="34"/>
  <c r="Z1506" i="34"/>
  <c r="N1507" i="34"/>
  <c r="R1507" i="34"/>
  <c r="S1507" i="34"/>
  <c r="T1507" i="34"/>
  <c r="U1507" i="34"/>
  <c r="W1507" i="34"/>
  <c r="Y1507" i="34"/>
  <c r="Z1507" i="34"/>
  <c r="N1508" i="34"/>
  <c r="R1508" i="34"/>
  <c r="S1508" i="34"/>
  <c r="T1508" i="34"/>
  <c r="U1508" i="34"/>
  <c r="W1508" i="34"/>
  <c r="Y1508" i="34"/>
  <c r="Z1508" i="34"/>
  <c r="N1509" i="34"/>
  <c r="R1509" i="34"/>
  <c r="S1509" i="34"/>
  <c r="T1509" i="34"/>
  <c r="U1509" i="34"/>
  <c r="W1509" i="34"/>
  <c r="Y1509" i="34"/>
  <c r="Z1509" i="34"/>
  <c r="N1510" i="34"/>
  <c r="R1510" i="34"/>
  <c r="S1510" i="34"/>
  <c r="T1510" i="34"/>
  <c r="U1510" i="34"/>
  <c r="W1510" i="34"/>
  <c r="Y1510" i="34"/>
  <c r="Z1510" i="34"/>
  <c r="N1511" i="34"/>
  <c r="R1511" i="34"/>
  <c r="S1511" i="34"/>
  <c r="T1511" i="34"/>
  <c r="U1511" i="34"/>
  <c r="W1511" i="34"/>
  <c r="Y1511" i="34"/>
  <c r="Z1511" i="34"/>
  <c r="N1512" i="34"/>
  <c r="R1512" i="34"/>
  <c r="S1512" i="34"/>
  <c r="T1512" i="34"/>
  <c r="U1512" i="34"/>
  <c r="W1512" i="34"/>
  <c r="Y1512" i="34"/>
  <c r="Z1512" i="34"/>
  <c r="N1513" i="34"/>
  <c r="R1513" i="34"/>
  <c r="S1513" i="34"/>
  <c r="T1513" i="34"/>
  <c r="U1513" i="34"/>
  <c r="W1513" i="34"/>
  <c r="Y1513" i="34"/>
  <c r="Z1513" i="34"/>
  <c r="N1514" i="34"/>
  <c r="R1514" i="34"/>
  <c r="S1514" i="34"/>
  <c r="T1514" i="34"/>
  <c r="U1514" i="34"/>
  <c r="W1514" i="34"/>
  <c r="Y1514" i="34"/>
  <c r="Z1514" i="34"/>
  <c r="N1515" i="34"/>
  <c r="R1515" i="34"/>
  <c r="S1515" i="34"/>
  <c r="T1515" i="34"/>
  <c r="U1515" i="34"/>
  <c r="W1515" i="34"/>
  <c r="Y1515" i="34"/>
  <c r="Z1515" i="34"/>
  <c r="N1516" i="34"/>
  <c r="R1516" i="34"/>
  <c r="S1516" i="34"/>
  <c r="T1516" i="34"/>
  <c r="U1516" i="34"/>
  <c r="W1516" i="34"/>
  <c r="Y1516" i="34"/>
  <c r="Z1516" i="34"/>
  <c r="N1517" i="34"/>
  <c r="R1517" i="34"/>
  <c r="S1517" i="34"/>
  <c r="T1517" i="34"/>
  <c r="U1517" i="34"/>
  <c r="W1517" i="34"/>
  <c r="Y1517" i="34"/>
  <c r="Z1517" i="34"/>
  <c r="N1518" i="34"/>
  <c r="R1518" i="34"/>
  <c r="S1518" i="34"/>
  <c r="T1518" i="34"/>
  <c r="U1518" i="34"/>
  <c r="W1518" i="34"/>
  <c r="Y1518" i="34"/>
  <c r="Z1518" i="34"/>
  <c r="N1519" i="34"/>
  <c r="R1519" i="34"/>
  <c r="S1519" i="34"/>
  <c r="T1519" i="34"/>
  <c r="U1519" i="34"/>
  <c r="W1519" i="34"/>
  <c r="Y1519" i="34"/>
  <c r="Z1519" i="34"/>
  <c r="N1520" i="34"/>
  <c r="R1520" i="34"/>
  <c r="S1520" i="34"/>
  <c r="T1520" i="34"/>
  <c r="U1520" i="34"/>
  <c r="W1520" i="34"/>
  <c r="Y1520" i="34"/>
  <c r="Z1520" i="34"/>
  <c r="N1521" i="34"/>
  <c r="R1521" i="34"/>
  <c r="S1521" i="34"/>
  <c r="T1521" i="34"/>
  <c r="U1521" i="34"/>
  <c r="W1521" i="34"/>
  <c r="Y1521" i="34"/>
  <c r="Z1521" i="34"/>
  <c r="N1522" i="34"/>
  <c r="R1522" i="34"/>
  <c r="S1522" i="34"/>
  <c r="T1522" i="34"/>
  <c r="U1522" i="34"/>
  <c r="W1522" i="34"/>
  <c r="Y1522" i="34"/>
  <c r="Z1522" i="34"/>
  <c r="N1523" i="34"/>
  <c r="R1523" i="34"/>
  <c r="S1523" i="34"/>
  <c r="T1523" i="34"/>
  <c r="U1523" i="34"/>
  <c r="W1523" i="34"/>
  <c r="Y1523" i="34"/>
  <c r="Z1523" i="34"/>
  <c r="N1524" i="34"/>
  <c r="R1524" i="34"/>
  <c r="S1524" i="34"/>
  <c r="T1524" i="34"/>
  <c r="U1524" i="34"/>
  <c r="W1524" i="34"/>
  <c r="Y1524" i="34"/>
  <c r="Z1524" i="34"/>
  <c r="N1525" i="34"/>
  <c r="R1525" i="34"/>
  <c r="S1525" i="34"/>
  <c r="T1525" i="34"/>
  <c r="U1525" i="34"/>
  <c r="W1525" i="34"/>
  <c r="Y1525" i="34"/>
  <c r="Z1525" i="34"/>
  <c r="N1526" i="34"/>
  <c r="R1526" i="34"/>
  <c r="S1526" i="34"/>
  <c r="T1526" i="34"/>
  <c r="U1526" i="34"/>
  <c r="W1526" i="34"/>
  <c r="Y1526" i="34"/>
  <c r="Z1526" i="34"/>
  <c r="N1527" i="34"/>
  <c r="R1527" i="34"/>
  <c r="S1527" i="34"/>
  <c r="T1527" i="34"/>
  <c r="U1527" i="34"/>
  <c r="W1527" i="34"/>
  <c r="Y1527" i="34"/>
  <c r="Z1527" i="34"/>
  <c r="N1528" i="34"/>
  <c r="R1528" i="34"/>
  <c r="S1528" i="34"/>
  <c r="T1528" i="34"/>
  <c r="U1528" i="34"/>
  <c r="W1528" i="34"/>
  <c r="Y1528" i="34"/>
  <c r="Z1528" i="34"/>
  <c r="N1529" i="34"/>
  <c r="R1529" i="34"/>
  <c r="S1529" i="34"/>
  <c r="T1529" i="34"/>
  <c r="U1529" i="34"/>
  <c r="W1529" i="34"/>
  <c r="Y1529" i="34"/>
  <c r="Z1529" i="34"/>
  <c r="N1530" i="34"/>
  <c r="R1530" i="34"/>
  <c r="S1530" i="34"/>
  <c r="T1530" i="34"/>
  <c r="U1530" i="34"/>
  <c r="W1530" i="34"/>
  <c r="Y1530" i="34"/>
  <c r="Z1530" i="34"/>
  <c r="N1531" i="34"/>
  <c r="R1531" i="34"/>
  <c r="S1531" i="34"/>
  <c r="T1531" i="34"/>
  <c r="U1531" i="34"/>
  <c r="W1531" i="34"/>
  <c r="Y1531" i="34"/>
  <c r="Z1531" i="34"/>
  <c r="N1532" i="34"/>
  <c r="R1532" i="34"/>
  <c r="S1532" i="34"/>
  <c r="T1532" i="34"/>
  <c r="U1532" i="34"/>
  <c r="W1532" i="34"/>
  <c r="Y1532" i="34"/>
  <c r="Z1532" i="34"/>
  <c r="N1533" i="34"/>
  <c r="R1533" i="34"/>
  <c r="S1533" i="34"/>
  <c r="T1533" i="34"/>
  <c r="U1533" i="34"/>
  <c r="W1533" i="34"/>
  <c r="Y1533" i="34"/>
  <c r="Z1533" i="34"/>
  <c r="N1534" i="34"/>
  <c r="R1534" i="34"/>
  <c r="S1534" i="34"/>
  <c r="T1534" i="34"/>
  <c r="U1534" i="34"/>
  <c r="W1534" i="34"/>
  <c r="Y1534" i="34"/>
  <c r="Z1534" i="34"/>
  <c r="N1535" i="34"/>
  <c r="R1535" i="34"/>
  <c r="S1535" i="34"/>
  <c r="T1535" i="34"/>
  <c r="U1535" i="34"/>
  <c r="W1535" i="34"/>
  <c r="Y1535" i="34"/>
  <c r="Z1535" i="34"/>
  <c r="N1536" i="34"/>
  <c r="R1536" i="34"/>
  <c r="S1536" i="34"/>
  <c r="T1536" i="34"/>
  <c r="U1536" i="34"/>
  <c r="W1536" i="34"/>
  <c r="Y1536" i="34"/>
  <c r="Z1536" i="34"/>
  <c r="N1537" i="34"/>
  <c r="R1537" i="34"/>
  <c r="S1537" i="34"/>
  <c r="T1537" i="34"/>
  <c r="U1537" i="34"/>
  <c r="W1537" i="34"/>
  <c r="Y1537" i="34"/>
  <c r="Z1537" i="34"/>
  <c r="N1538" i="34"/>
  <c r="R1538" i="34"/>
  <c r="S1538" i="34"/>
  <c r="T1538" i="34"/>
  <c r="U1538" i="34"/>
  <c r="W1538" i="34"/>
  <c r="Y1538" i="34"/>
  <c r="Z1538" i="34"/>
  <c r="N1539" i="34"/>
  <c r="R1539" i="34"/>
  <c r="S1539" i="34"/>
  <c r="T1539" i="34"/>
  <c r="U1539" i="34"/>
  <c r="W1539" i="34"/>
  <c r="Y1539" i="34"/>
  <c r="Z1539" i="34"/>
  <c r="N1540" i="34"/>
  <c r="R1540" i="34"/>
  <c r="S1540" i="34"/>
  <c r="T1540" i="34"/>
  <c r="U1540" i="34"/>
  <c r="W1540" i="34"/>
  <c r="Y1540" i="34"/>
  <c r="Z1540" i="34"/>
  <c r="N1541" i="34"/>
  <c r="R1541" i="34"/>
  <c r="S1541" i="34"/>
  <c r="T1541" i="34"/>
  <c r="U1541" i="34"/>
  <c r="W1541" i="34"/>
  <c r="Y1541" i="34"/>
  <c r="Z1541" i="34"/>
  <c r="N1542" i="34"/>
  <c r="R1542" i="34"/>
  <c r="S1542" i="34"/>
  <c r="T1542" i="34"/>
  <c r="U1542" i="34"/>
  <c r="W1542" i="34"/>
  <c r="Y1542" i="34"/>
  <c r="Z1542" i="34"/>
  <c r="N1543" i="34"/>
  <c r="R1543" i="34"/>
  <c r="S1543" i="34"/>
  <c r="T1543" i="34"/>
  <c r="U1543" i="34"/>
  <c r="W1543" i="34"/>
  <c r="Y1543" i="34"/>
  <c r="Z1543" i="34"/>
  <c r="N1544" i="34"/>
  <c r="R1544" i="34"/>
  <c r="S1544" i="34"/>
  <c r="T1544" i="34"/>
  <c r="U1544" i="34"/>
  <c r="W1544" i="34"/>
  <c r="Y1544" i="34"/>
  <c r="Z1544" i="34"/>
  <c r="N1545" i="34"/>
  <c r="R1545" i="34"/>
  <c r="S1545" i="34"/>
  <c r="T1545" i="34"/>
  <c r="U1545" i="34"/>
  <c r="W1545" i="34"/>
  <c r="Y1545" i="34"/>
  <c r="Z1545" i="34"/>
  <c r="N1546" i="34"/>
  <c r="R1546" i="34"/>
  <c r="S1546" i="34"/>
  <c r="T1546" i="34"/>
  <c r="U1546" i="34"/>
  <c r="W1546" i="34"/>
  <c r="Y1546" i="34"/>
  <c r="Z1546" i="34"/>
  <c r="N1547" i="34"/>
  <c r="R1547" i="34"/>
  <c r="S1547" i="34"/>
  <c r="T1547" i="34"/>
  <c r="U1547" i="34"/>
  <c r="W1547" i="34"/>
  <c r="Y1547" i="34"/>
  <c r="Z1547" i="34"/>
  <c r="N1548" i="34"/>
  <c r="R1548" i="34"/>
  <c r="S1548" i="34"/>
  <c r="T1548" i="34"/>
  <c r="U1548" i="34"/>
  <c r="W1548" i="34"/>
  <c r="Y1548" i="34"/>
  <c r="Z1548" i="34"/>
  <c r="N1549" i="34"/>
  <c r="R1549" i="34"/>
  <c r="S1549" i="34"/>
  <c r="T1549" i="34"/>
  <c r="U1549" i="34"/>
  <c r="W1549" i="34"/>
  <c r="Y1549" i="34"/>
  <c r="Z1549" i="34"/>
  <c r="N1550" i="34"/>
  <c r="R1550" i="34"/>
  <c r="S1550" i="34"/>
  <c r="T1550" i="34"/>
  <c r="U1550" i="34"/>
  <c r="W1550" i="34"/>
  <c r="Y1550" i="34"/>
  <c r="Z1550" i="34"/>
  <c r="N1551" i="34"/>
  <c r="R1551" i="34"/>
  <c r="S1551" i="34"/>
  <c r="T1551" i="34"/>
  <c r="U1551" i="34"/>
  <c r="W1551" i="34"/>
  <c r="Y1551" i="34"/>
  <c r="Z1551" i="34"/>
  <c r="N1552" i="34"/>
  <c r="R1552" i="34"/>
  <c r="S1552" i="34"/>
  <c r="T1552" i="34"/>
  <c r="U1552" i="34"/>
  <c r="W1552" i="34"/>
  <c r="Y1552" i="34"/>
  <c r="Z1552" i="34"/>
  <c r="N1553" i="34"/>
  <c r="R1553" i="34"/>
  <c r="S1553" i="34"/>
  <c r="T1553" i="34"/>
  <c r="U1553" i="34"/>
  <c r="W1553" i="34"/>
  <c r="Y1553" i="34"/>
  <c r="Z1553" i="34"/>
  <c r="N1554" i="34"/>
  <c r="R1554" i="34"/>
  <c r="S1554" i="34"/>
  <c r="T1554" i="34"/>
  <c r="U1554" i="34"/>
  <c r="W1554" i="34"/>
  <c r="Y1554" i="34"/>
  <c r="Z1554" i="34"/>
  <c r="N1555" i="34"/>
  <c r="R1555" i="34"/>
  <c r="S1555" i="34"/>
  <c r="T1555" i="34"/>
  <c r="U1555" i="34"/>
  <c r="W1555" i="34"/>
  <c r="Y1555" i="34"/>
  <c r="Z1555" i="34"/>
  <c r="N1556" i="34"/>
  <c r="R1556" i="34"/>
  <c r="S1556" i="34"/>
  <c r="T1556" i="34"/>
  <c r="U1556" i="34"/>
  <c r="W1556" i="34"/>
  <c r="Y1556" i="34"/>
  <c r="Z1556" i="34"/>
  <c r="N1557" i="34"/>
  <c r="R1557" i="34"/>
  <c r="S1557" i="34"/>
  <c r="T1557" i="34"/>
  <c r="U1557" i="34"/>
  <c r="W1557" i="34"/>
  <c r="Y1557" i="34"/>
  <c r="Z1557" i="34"/>
  <c r="N1558" i="34"/>
  <c r="R1558" i="34"/>
  <c r="S1558" i="34"/>
  <c r="T1558" i="34"/>
  <c r="U1558" i="34"/>
  <c r="W1558" i="34"/>
  <c r="Y1558" i="34"/>
  <c r="Z1558" i="34"/>
  <c r="N1559" i="34"/>
  <c r="R1559" i="34"/>
  <c r="S1559" i="34"/>
  <c r="T1559" i="34"/>
  <c r="U1559" i="34"/>
  <c r="W1559" i="34"/>
  <c r="Y1559" i="34"/>
  <c r="Z1559" i="34"/>
  <c r="N1560" i="34"/>
  <c r="R1560" i="34"/>
  <c r="S1560" i="34"/>
  <c r="T1560" i="34"/>
  <c r="U1560" i="34"/>
  <c r="W1560" i="34"/>
  <c r="Y1560" i="34"/>
  <c r="Z1560" i="34"/>
  <c r="N1561" i="34"/>
  <c r="R1561" i="34"/>
  <c r="S1561" i="34"/>
  <c r="T1561" i="34"/>
  <c r="U1561" i="34"/>
  <c r="W1561" i="34"/>
  <c r="Y1561" i="34"/>
  <c r="Z1561" i="34"/>
  <c r="N1562" i="34"/>
  <c r="R1562" i="34"/>
  <c r="S1562" i="34"/>
  <c r="T1562" i="34"/>
  <c r="U1562" i="34"/>
  <c r="W1562" i="34"/>
  <c r="Y1562" i="34"/>
  <c r="Z1562" i="34"/>
  <c r="N1563" i="34"/>
  <c r="R1563" i="34"/>
  <c r="S1563" i="34"/>
  <c r="T1563" i="34"/>
  <c r="U1563" i="34"/>
  <c r="W1563" i="34"/>
  <c r="Y1563" i="34"/>
  <c r="Z1563" i="34"/>
  <c r="N1564" i="34"/>
  <c r="R1564" i="34"/>
  <c r="S1564" i="34"/>
  <c r="T1564" i="34"/>
  <c r="U1564" i="34"/>
  <c r="W1564" i="34"/>
  <c r="Y1564" i="34"/>
  <c r="Z1564" i="34"/>
  <c r="N1565" i="34"/>
  <c r="R1565" i="34"/>
  <c r="S1565" i="34"/>
  <c r="T1565" i="34"/>
  <c r="U1565" i="34"/>
  <c r="W1565" i="34"/>
  <c r="Y1565" i="34"/>
  <c r="Z1565" i="34"/>
  <c r="N1566" i="34"/>
  <c r="R1566" i="34"/>
  <c r="S1566" i="34"/>
  <c r="T1566" i="34"/>
  <c r="U1566" i="34"/>
  <c r="W1566" i="34"/>
  <c r="Y1566" i="34"/>
  <c r="Z1566" i="34"/>
  <c r="N1567" i="34"/>
  <c r="R1567" i="34"/>
  <c r="S1567" i="34"/>
  <c r="T1567" i="34"/>
  <c r="U1567" i="34"/>
  <c r="W1567" i="34"/>
  <c r="Y1567" i="34"/>
  <c r="Z1567" i="34"/>
  <c r="N1568" i="34"/>
  <c r="R1568" i="34"/>
  <c r="S1568" i="34"/>
  <c r="T1568" i="34"/>
  <c r="U1568" i="34"/>
  <c r="W1568" i="34"/>
  <c r="Y1568" i="34"/>
  <c r="Z1568" i="34"/>
  <c r="N1569" i="34"/>
  <c r="R1569" i="34"/>
  <c r="S1569" i="34"/>
  <c r="T1569" i="34"/>
  <c r="U1569" i="34"/>
  <c r="W1569" i="34"/>
  <c r="Y1569" i="34"/>
  <c r="Z1569" i="34"/>
  <c r="N1570" i="34"/>
  <c r="R1570" i="34"/>
  <c r="S1570" i="34"/>
  <c r="T1570" i="34"/>
  <c r="U1570" i="34"/>
  <c r="W1570" i="34"/>
  <c r="Y1570" i="34"/>
  <c r="Z1570" i="34"/>
  <c r="N1571" i="34"/>
  <c r="R1571" i="34"/>
  <c r="S1571" i="34"/>
  <c r="T1571" i="34"/>
  <c r="U1571" i="34"/>
  <c r="W1571" i="34"/>
  <c r="Y1571" i="34"/>
  <c r="Z1571" i="34"/>
  <c r="N1572" i="34"/>
  <c r="R1572" i="34"/>
  <c r="S1572" i="34"/>
  <c r="T1572" i="34"/>
  <c r="U1572" i="34"/>
  <c r="W1572" i="34"/>
  <c r="Y1572" i="34"/>
  <c r="Z1572" i="34"/>
  <c r="N1573" i="34"/>
  <c r="R1573" i="34"/>
  <c r="S1573" i="34"/>
  <c r="T1573" i="34"/>
  <c r="U1573" i="34"/>
  <c r="W1573" i="34"/>
  <c r="Y1573" i="34"/>
  <c r="Z1573" i="34"/>
  <c r="N1574" i="34"/>
  <c r="R1574" i="34"/>
  <c r="S1574" i="34"/>
  <c r="T1574" i="34"/>
  <c r="U1574" i="34"/>
  <c r="W1574" i="34"/>
  <c r="Y1574" i="34"/>
  <c r="Z1574" i="34"/>
  <c r="N1575" i="34"/>
  <c r="R1575" i="34"/>
  <c r="S1575" i="34"/>
  <c r="T1575" i="34"/>
  <c r="U1575" i="34"/>
  <c r="W1575" i="34"/>
  <c r="Y1575" i="34"/>
  <c r="Z1575" i="34"/>
  <c r="N1576" i="34"/>
  <c r="R1576" i="34"/>
  <c r="S1576" i="34"/>
  <c r="T1576" i="34"/>
  <c r="U1576" i="34"/>
  <c r="W1576" i="34"/>
  <c r="Y1576" i="34"/>
  <c r="Z1576" i="34"/>
  <c r="N1577" i="34"/>
  <c r="R1577" i="34"/>
  <c r="S1577" i="34"/>
  <c r="T1577" i="34"/>
  <c r="U1577" i="34"/>
  <c r="W1577" i="34"/>
  <c r="Y1577" i="34"/>
  <c r="Z1577" i="34"/>
  <c r="N1578" i="34"/>
  <c r="R1578" i="34"/>
  <c r="S1578" i="34"/>
  <c r="T1578" i="34"/>
  <c r="U1578" i="34"/>
  <c r="W1578" i="34"/>
  <c r="Y1578" i="34"/>
  <c r="Z1578" i="34"/>
  <c r="N1579" i="34"/>
  <c r="R1579" i="34"/>
  <c r="S1579" i="34"/>
  <c r="T1579" i="34"/>
  <c r="U1579" i="34"/>
  <c r="W1579" i="34"/>
  <c r="Y1579" i="34"/>
  <c r="Z1579" i="34"/>
  <c r="N1580" i="34"/>
  <c r="R1580" i="34"/>
  <c r="S1580" i="34"/>
  <c r="T1580" i="34"/>
  <c r="U1580" i="34"/>
  <c r="W1580" i="34"/>
  <c r="Y1580" i="34"/>
  <c r="Z1580" i="34"/>
  <c r="N1581" i="34"/>
  <c r="R1581" i="34"/>
  <c r="S1581" i="34"/>
  <c r="T1581" i="34"/>
  <c r="U1581" i="34"/>
  <c r="W1581" i="34"/>
  <c r="Y1581" i="34"/>
  <c r="Z1581" i="34"/>
  <c r="N1582" i="34"/>
  <c r="R1582" i="34"/>
  <c r="S1582" i="34"/>
  <c r="T1582" i="34"/>
  <c r="U1582" i="34"/>
  <c r="W1582" i="34"/>
  <c r="Y1582" i="34"/>
  <c r="Z1582" i="34"/>
  <c r="N1583" i="34"/>
  <c r="R1583" i="34"/>
  <c r="S1583" i="34"/>
  <c r="T1583" i="34"/>
  <c r="U1583" i="34"/>
  <c r="W1583" i="34"/>
  <c r="Y1583" i="34"/>
  <c r="Z1583" i="34"/>
  <c r="N1584" i="34"/>
  <c r="R1584" i="34"/>
  <c r="S1584" i="34"/>
  <c r="T1584" i="34"/>
  <c r="U1584" i="34"/>
  <c r="W1584" i="34"/>
  <c r="Y1584" i="34"/>
  <c r="Z1584" i="34"/>
  <c r="N1585" i="34"/>
  <c r="R1585" i="34"/>
  <c r="S1585" i="34"/>
  <c r="T1585" i="34"/>
  <c r="U1585" i="34"/>
  <c r="W1585" i="34"/>
  <c r="Y1585" i="34"/>
  <c r="Z1585" i="34"/>
  <c r="N1586" i="34"/>
  <c r="R1586" i="34"/>
  <c r="S1586" i="34"/>
  <c r="T1586" i="34"/>
  <c r="U1586" i="34"/>
  <c r="W1586" i="34"/>
  <c r="Y1586" i="34"/>
  <c r="Z1586" i="34"/>
  <c r="N1587" i="34"/>
  <c r="R1587" i="34"/>
  <c r="S1587" i="34"/>
  <c r="T1587" i="34"/>
  <c r="U1587" i="34"/>
  <c r="W1587" i="34"/>
  <c r="Y1587" i="34"/>
  <c r="Z1587" i="34"/>
  <c r="N1588" i="34"/>
  <c r="R1588" i="34"/>
  <c r="S1588" i="34"/>
  <c r="T1588" i="34"/>
  <c r="U1588" i="34"/>
  <c r="W1588" i="34"/>
  <c r="Y1588" i="34"/>
  <c r="Z1588" i="34"/>
  <c r="N1589" i="34"/>
  <c r="R1589" i="34"/>
  <c r="S1589" i="34"/>
  <c r="T1589" i="34"/>
  <c r="U1589" i="34"/>
  <c r="W1589" i="34"/>
  <c r="Y1589" i="34"/>
  <c r="Z1589" i="34"/>
  <c r="N1590" i="34"/>
  <c r="R1590" i="34"/>
  <c r="S1590" i="34"/>
  <c r="T1590" i="34"/>
  <c r="U1590" i="34"/>
  <c r="W1590" i="34"/>
  <c r="Y1590" i="34"/>
  <c r="Z1590" i="34"/>
  <c r="N1591" i="34"/>
  <c r="R1591" i="34"/>
  <c r="S1591" i="34"/>
  <c r="T1591" i="34"/>
  <c r="U1591" i="34"/>
  <c r="W1591" i="34"/>
  <c r="Y1591" i="34"/>
  <c r="Z1591" i="34"/>
  <c r="N1592" i="34"/>
  <c r="R1592" i="34"/>
  <c r="S1592" i="34"/>
  <c r="T1592" i="34"/>
  <c r="U1592" i="34"/>
  <c r="W1592" i="34"/>
  <c r="Y1592" i="34"/>
  <c r="Z1592" i="34"/>
  <c r="N1593" i="34"/>
  <c r="R1593" i="34"/>
  <c r="S1593" i="34"/>
  <c r="T1593" i="34"/>
  <c r="U1593" i="34"/>
  <c r="W1593" i="34"/>
  <c r="Y1593" i="34"/>
  <c r="Z1593" i="34"/>
  <c r="N1594" i="34"/>
  <c r="R1594" i="34"/>
  <c r="S1594" i="34"/>
  <c r="T1594" i="34"/>
  <c r="U1594" i="34"/>
  <c r="W1594" i="34"/>
  <c r="Y1594" i="34"/>
  <c r="Z1594" i="34"/>
  <c r="N1595" i="34"/>
  <c r="R1595" i="34"/>
  <c r="S1595" i="34"/>
  <c r="T1595" i="34"/>
  <c r="U1595" i="34"/>
  <c r="W1595" i="34"/>
  <c r="Y1595" i="34"/>
  <c r="Z1595" i="34"/>
  <c r="N1596" i="34"/>
  <c r="R1596" i="34"/>
  <c r="S1596" i="34"/>
  <c r="T1596" i="34"/>
  <c r="U1596" i="34"/>
  <c r="W1596" i="34"/>
  <c r="Y1596" i="34"/>
  <c r="Z1596" i="34"/>
  <c r="N1597" i="34"/>
  <c r="R1597" i="34"/>
  <c r="S1597" i="34"/>
  <c r="T1597" i="34"/>
  <c r="U1597" i="34"/>
  <c r="W1597" i="34"/>
  <c r="Y1597" i="34"/>
  <c r="Z1597" i="34"/>
  <c r="N1598" i="34"/>
  <c r="R1598" i="34"/>
  <c r="S1598" i="34"/>
  <c r="T1598" i="34"/>
  <c r="U1598" i="34"/>
  <c r="W1598" i="34"/>
  <c r="Y1598" i="34"/>
  <c r="Z1598" i="34"/>
  <c r="N1599" i="34"/>
  <c r="R1599" i="34"/>
  <c r="S1599" i="34"/>
  <c r="T1599" i="34"/>
  <c r="U1599" i="34"/>
  <c r="W1599" i="34"/>
  <c r="Y1599" i="34"/>
  <c r="Z1599" i="34"/>
  <c r="N1600" i="34"/>
  <c r="R1600" i="34"/>
  <c r="S1600" i="34"/>
  <c r="T1600" i="34"/>
  <c r="U1600" i="34"/>
  <c r="W1600" i="34"/>
  <c r="Y1600" i="34"/>
  <c r="Z1600" i="34"/>
  <c r="N1601" i="34"/>
  <c r="R1601" i="34"/>
  <c r="S1601" i="34"/>
  <c r="T1601" i="34"/>
  <c r="U1601" i="34"/>
  <c r="W1601" i="34"/>
  <c r="Y1601" i="34"/>
  <c r="Z1601" i="34"/>
  <c r="N1602" i="34"/>
  <c r="R1602" i="34"/>
  <c r="S1602" i="34"/>
  <c r="T1602" i="34"/>
  <c r="U1602" i="34"/>
  <c r="W1602" i="34"/>
  <c r="Y1602" i="34"/>
  <c r="Z1602" i="34"/>
  <c r="N1603" i="34"/>
  <c r="R1603" i="34"/>
  <c r="S1603" i="34"/>
  <c r="T1603" i="34"/>
  <c r="U1603" i="34"/>
  <c r="W1603" i="34"/>
  <c r="Y1603" i="34"/>
  <c r="Z1603" i="34"/>
  <c r="N1604" i="34"/>
  <c r="R1604" i="34"/>
  <c r="S1604" i="34"/>
  <c r="T1604" i="34"/>
  <c r="U1604" i="34"/>
  <c r="W1604" i="34"/>
  <c r="Y1604" i="34"/>
  <c r="Z1604" i="34"/>
  <c r="N1605" i="34"/>
  <c r="R1605" i="34"/>
  <c r="S1605" i="34"/>
  <c r="T1605" i="34"/>
  <c r="U1605" i="34"/>
  <c r="W1605" i="34"/>
  <c r="Y1605" i="34"/>
  <c r="Z1605" i="34"/>
  <c r="N1606" i="34"/>
  <c r="R1606" i="34"/>
  <c r="S1606" i="34"/>
  <c r="T1606" i="34"/>
  <c r="U1606" i="34"/>
  <c r="W1606" i="34"/>
  <c r="Y1606" i="34"/>
  <c r="Z1606" i="34"/>
  <c r="N1607" i="34"/>
  <c r="R1607" i="34"/>
  <c r="S1607" i="34"/>
  <c r="T1607" i="34"/>
  <c r="U1607" i="34"/>
  <c r="W1607" i="34"/>
  <c r="Y1607" i="34"/>
  <c r="Z1607" i="34"/>
  <c r="N1608" i="34"/>
  <c r="R1608" i="34"/>
  <c r="S1608" i="34"/>
  <c r="T1608" i="34"/>
  <c r="U1608" i="34"/>
  <c r="W1608" i="34"/>
  <c r="Y1608" i="34"/>
  <c r="Z1608" i="34"/>
  <c r="N1609" i="34"/>
  <c r="R1609" i="34"/>
  <c r="S1609" i="34"/>
  <c r="T1609" i="34"/>
  <c r="U1609" i="34"/>
  <c r="W1609" i="34"/>
  <c r="Y1609" i="34"/>
  <c r="Z1609" i="34"/>
  <c r="N1610" i="34"/>
  <c r="R1610" i="34"/>
  <c r="S1610" i="34"/>
  <c r="T1610" i="34"/>
  <c r="U1610" i="34"/>
  <c r="W1610" i="34"/>
  <c r="Y1610" i="34"/>
  <c r="Z1610" i="34"/>
  <c r="N1611" i="34"/>
  <c r="R1611" i="34"/>
  <c r="S1611" i="34"/>
  <c r="T1611" i="34"/>
  <c r="U1611" i="34"/>
  <c r="W1611" i="34"/>
  <c r="Y1611" i="34"/>
  <c r="Z1611" i="34"/>
  <c r="N1612" i="34"/>
  <c r="R1612" i="34"/>
  <c r="S1612" i="34"/>
  <c r="T1612" i="34"/>
  <c r="U1612" i="34"/>
  <c r="W1612" i="34"/>
  <c r="Y1612" i="34"/>
  <c r="Z1612" i="34"/>
  <c r="N1613" i="34"/>
  <c r="R1613" i="34"/>
  <c r="S1613" i="34"/>
  <c r="T1613" i="34"/>
  <c r="U1613" i="34"/>
  <c r="W1613" i="34"/>
  <c r="Y1613" i="34"/>
  <c r="Z1613" i="34"/>
  <c r="N1614" i="34"/>
  <c r="R1614" i="34"/>
  <c r="S1614" i="34"/>
  <c r="T1614" i="34"/>
  <c r="U1614" i="34"/>
  <c r="W1614" i="34"/>
  <c r="Y1614" i="34"/>
  <c r="Z1614" i="34"/>
  <c r="N1615" i="34"/>
  <c r="R1615" i="34"/>
  <c r="S1615" i="34"/>
  <c r="T1615" i="34"/>
  <c r="U1615" i="34"/>
  <c r="W1615" i="34"/>
  <c r="Y1615" i="34"/>
  <c r="Z1615" i="34"/>
  <c r="N1616" i="34"/>
  <c r="R1616" i="34"/>
  <c r="S1616" i="34"/>
  <c r="T1616" i="34"/>
  <c r="U1616" i="34"/>
  <c r="W1616" i="34"/>
  <c r="Y1616" i="34"/>
  <c r="Z1616" i="34"/>
  <c r="N1617" i="34"/>
  <c r="R1617" i="34"/>
  <c r="S1617" i="34"/>
  <c r="T1617" i="34"/>
  <c r="U1617" i="34"/>
  <c r="W1617" i="34"/>
  <c r="Y1617" i="34"/>
  <c r="Z1617" i="34"/>
  <c r="N1618" i="34"/>
  <c r="R1618" i="34"/>
  <c r="S1618" i="34"/>
  <c r="T1618" i="34"/>
  <c r="U1618" i="34"/>
  <c r="W1618" i="34"/>
  <c r="Y1618" i="34"/>
  <c r="Z1618" i="34"/>
  <c r="N1619" i="34"/>
  <c r="R1619" i="34"/>
  <c r="S1619" i="34"/>
  <c r="T1619" i="34"/>
  <c r="U1619" i="34"/>
  <c r="W1619" i="34"/>
  <c r="Y1619" i="34"/>
  <c r="Z1619" i="34"/>
  <c r="N1620" i="34"/>
  <c r="R1620" i="34"/>
  <c r="S1620" i="34"/>
  <c r="T1620" i="34"/>
  <c r="U1620" i="34"/>
  <c r="W1620" i="34"/>
  <c r="Y1620" i="34"/>
  <c r="Z1620" i="34"/>
  <c r="N1621" i="34"/>
  <c r="R1621" i="34"/>
  <c r="S1621" i="34"/>
  <c r="T1621" i="34"/>
  <c r="U1621" i="34"/>
  <c r="W1621" i="34"/>
  <c r="Y1621" i="34"/>
  <c r="Z1621" i="34"/>
  <c r="N1622" i="34"/>
  <c r="R1622" i="34"/>
  <c r="S1622" i="34"/>
  <c r="T1622" i="34"/>
  <c r="U1622" i="34"/>
  <c r="W1622" i="34"/>
  <c r="Y1622" i="34"/>
  <c r="Z1622" i="34"/>
  <c r="N1623" i="34"/>
  <c r="R1623" i="34"/>
  <c r="S1623" i="34"/>
  <c r="T1623" i="34"/>
  <c r="U1623" i="34"/>
  <c r="W1623" i="34"/>
  <c r="Y1623" i="34"/>
  <c r="Z1623" i="34"/>
  <c r="N1624" i="34"/>
  <c r="R1624" i="34"/>
  <c r="S1624" i="34"/>
  <c r="T1624" i="34"/>
  <c r="U1624" i="34"/>
  <c r="W1624" i="34"/>
  <c r="Y1624" i="34"/>
  <c r="Z1624" i="34"/>
  <c r="N1625" i="34"/>
  <c r="R1625" i="34"/>
  <c r="S1625" i="34"/>
  <c r="T1625" i="34"/>
  <c r="U1625" i="34"/>
  <c r="W1625" i="34"/>
  <c r="Y1625" i="34"/>
  <c r="Z1625" i="34"/>
  <c r="N1626" i="34"/>
  <c r="R1626" i="34"/>
  <c r="S1626" i="34"/>
  <c r="T1626" i="34"/>
  <c r="U1626" i="34"/>
  <c r="W1626" i="34"/>
  <c r="Y1626" i="34"/>
  <c r="Z1626" i="34"/>
  <c r="N1627" i="34"/>
  <c r="R1627" i="34"/>
  <c r="S1627" i="34"/>
  <c r="T1627" i="34"/>
  <c r="U1627" i="34"/>
  <c r="W1627" i="34"/>
  <c r="Y1627" i="34"/>
  <c r="Z1627" i="34"/>
  <c r="N1628" i="34"/>
  <c r="R1628" i="34"/>
  <c r="S1628" i="34"/>
  <c r="T1628" i="34"/>
  <c r="U1628" i="34"/>
  <c r="W1628" i="34"/>
  <c r="Y1628" i="34"/>
  <c r="Z1628" i="34"/>
  <c r="N1629" i="34"/>
  <c r="R1629" i="34"/>
  <c r="S1629" i="34"/>
  <c r="T1629" i="34"/>
  <c r="U1629" i="34"/>
  <c r="W1629" i="34"/>
  <c r="Y1629" i="34"/>
  <c r="Z1629" i="34"/>
  <c r="N1630" i="34"/>
  <c r="R1630" i="34"/>
  <c r="S1630" i="34"/>
  <c r="T1630" i="34"/>
  <c r="U1630" i="34"/>
  <c r="W1630" i="34"/>
  <c r="Y1630" i="34"/>
  <c r="Z1630" i="34"/>
  <c r="N1631" i="34"/>
  <c r="R1631" i="34"/>
  <c r="S1631" i="34"/>
  <c r="T1631" i="34"/>
  <c r="U1631" i="34"/>
  <c r="W1631" i="34"/>
  <c r="Y1631" i="34"/>
  <c r="Z1631" i="34"/>
  <c r="N1632" i="34"/>
  <c r="R1632" i="34"/>
  <c r="S1632" i="34"/>
  <c r="T1632" i="34"/>
  <c r="U1632" i="34"/>
  <c r="W1632" i="34"/>
  <c r="Y1632" i="34"/>
  <c r="Z1632" i="34"/>
  <c r="N1633" i="34"/>
  <c r="R1633" i="34"/>
  <c r="S1633" i="34"/>
  <c r="T1633" i="34"/>
  <c r="U1633" i="34"/>
  <c r="W1633" i="34"/>
  <c r="Y1633" i="34"/>
  <c r="Z1633" i="34"/>
  <c r="N1634" i="34"/>
  <c r="R1634" i="34"/>
  <c r="S1634" i="34"/>
  <c r="T1634" i="34"/>
  <c r="U1634" i="34"/>
  <c r="W1634" i="34"/>
  <c r="Y1634" i="34"/>
  <c r="Z1634" i="34"/>
  <c r="N1635" i="34"/>
  <c r="R1635" i="34"/>
  <c r="S1635" i="34"/>
  <c r="T1635" i="34"/>
  <c r="U1635" i="34"/>
  <c r="W1635" i="34"/>
  <c r="Y1635" i="34"/>
  <c r="Z1635" i="34"/>
  <c r="N1636" i="34"/>
  <c r="R1636" i="34"/>
  <c r="S1636" i="34"/>
  <c r="T1636" i="34"/>
  <c r="U1636" i="34"/>
  <c r="W1636" i="34"/>
  <c r="Y1636" i="34"/>
  <c r="Z1636" i="34"/>
  <c r="N1637" i="34"/>
  <c r="R1637" i="34"/>
  <c r="S1637" i="34"/>
  <c r="T1637" i="34"/>
  <c r="U1637" i="34"/>
  <c r="W1637" i="34"/>
  <c r="Y1637" i="34"/>
  <c r="Z1637" i="34"/>
  <c r="N1638" i="34"/>
  <c r="R1638" i="34"/>
  <c r="S1638" i="34"/>
  <c r="T1638" i="34"/>
  <c r="U1638" i="34"/>
  <c r="W1638" i="34"/>
  <c r="Y1638" i="34"/>
  <c r="Z1638" i="34"/>
  <c r="N1639" i="34"/>
  <c r="R1639" i="34"/>
  <c r="S1639" i="34"/>
  <c r="T1639" i="34"/>
  <c r="U1639" i="34"/>
  <c r="W1639" i="34"/>
  <c r="Y1639" i="34"/>
  <c r="Z1639" i="34"/>
  <c r="C1387" i="34"/>
  <c r="B1387" i="34" s="1"/>
  <c r="A1387" i="34" s="1"/>
  <c r="K1386" i="34"/>
  <c r="C1386" i="34"/>
  <c r="C1385" i="34"/>
  <c r="K1384" i="34"/>
  <c r="C1384" i="34"/>
  <c r="B1384" i="34" s="1"/>
  <c r="K1383" i="34"/>
  <c r="C1383" i="34"/>
  <c r="B1383" i="34" s="1"/>
  <c r="A1383" i="34" s="1"/>
  <c r="C1382" i="34"/>
  <c r="K1381" i="34"/>
  <c r="C1381" i="34"/>
  <c r="B1381" i="34" s="1"/>
  <c r="A1381" i="34" s="1"/>
  <c r="K1380" i="34"/>
  <c r="C1380" i="34"/>
  <c r="B1380" i="34" s="1"/>
  <c r="C1379" i="34"/>
  <c r="B1379" i="34" s="1"/>
  <c r="A1379" i="34" s="1"/>
  <c r="K1378" i="34"/>
  <c r="C1378" i="34"/>
  <c r="B1378" i="34" s="1"/>
  <c r="C1377" i="34"/>
  <c r="B1377" i="34" s="1"/>
  <c r="A1377" i="34" s="1"/>
  <c r="K1376" i="34"/>
  <c r="C1376" i="34"/>
  <c r="B1376" i="34" s="1"/>
  <c r="K1375" i="34"/>
  <c r="C1375" i="34"/>
  <c r="B1375" i="34" s="1"/>
  <c r="A1375" i="34" s="1"/>
  <c r="K1374" i="34"/>
  <c r="C1374" i="34"/>
  <c r="B1374" i="34" s="1"/>
  <c r="K1373" i="34"/>
  <c r="C1373" i="34"/>
  <c r="B1373" i="34" s="1"/>
  <c r="A1373" i="34" s="1"/>
  <c r="K1372" i="34"/>
  <c r="C1372" i="34"/>
  <c r="B1372" i="34" s="1"/>
  <c r="C1371" i="34"/>
  <c r="B1371" i="34" s="1"/>
  <c r="A1371" i="34" s="1"/>
  <c r="K1370" i="34"/>
  <c r="C1370" i="34"/>
  <c r="B1370" i="34" s="1"/>
  <c r="K1369" i="34"/>
  <c r="C1369" i="34"/>
  <c r="B1369" i="34" s="1"/>
  <c r="A1369" i="34" s="1"/>
  <c r="K1368" i="34"/>
  <c r="C1368" i="34"/>
  <c r="B1368" i="34" s="1"/>
  <c r="K1367" i="34"/>
  <c r="C1367" i="34"/>
  <c r="B1367" i="34" s="1"/>
  <c r="A1367" i="34" s="1"/>
  <c r="C1366" i="34"/>
  <c r="B1366" i="34" s="1"/>
  <c r="K1365" i="34"/>
  <c r="C1365" i="34"/>
  <c r="B1365" i="34" s="1"/>
  <c r="A1365" i="34" s="1"/>
  <c r="C1364" i="34"/>
  <c r="B1364" i="34" s="1"/>
  <c r="K1363" i="34"/>
  <c r="C1363" i="34"/>
  <c r="B1363" i="34" s="1"/>
  <c r="A1363" i="34" s="1"/>
  <c r="K1362" i="34"/>
  <c r="C1362" i="34"/>
  <c r="B1362" i="34" s="1"/>
  <c r="K1361" i="34"/>
  <c r="C1361" i="34"/>
  <c r="B1361" i="34" s="1"/>
  <c r="A1361" i="34" s="1"/>
  <c r="C1360" i="34"/>
  <c r="B1360" i="34" s="1"/>
  <c r="K1359" i="34"/>
  <c r="C1359" i="34"/>
  <c r="B1359" i="34" s="1"/>
  <c r="A1359" i="34" s="1"/>
  <c r="C1358" i="34"/>
  <c r="B1358" i="34" s="1"/>
  <c r="K1357" i="34"/>
  <c r="C1357" i="34"/>
  <c r="B1357" i="34" s="1"/>
  <c r="A1357" i="34" s="1"/>
  <c r="K1356" i="34"/>
  <c r="C1356" i="34"/>
  <c r="B1356" i="34" s="1"/>
  <c r="K1355" i="34"/>
  <c r="C1355" i="34"/>
  <c r="B1355" i="34" s="1"/>
  <c r="A1355" i="34" s="1"/>
  <c r="K1354" i="34"/>
  <c r="C1354" i="34"/>
  <c r="B1354" i="34" s="1"/>
  <c r="C1353" i="34"/>
  <c r="B1353" i="34" s="1"/>
  <c r="A1353" i="34" s="1"/>
  <c r="K1352" i="34"/>
  <c r="C1352" i="34"/>
  <c r="B1352" i="34" s="1"/>
  <c r="C1351" i="34"/>
  <c r="B1351" i="34" s="1"/>
  <c r="A1351" i="34" s="1"/>
  <c r="K1350" i="34"/>
  <c r="C1350" i="34"/>
  <c r="B1350" i="34" s="1"/>
  <c r="K1349" i="34"/>
  <c r="C1349" i="34"/>
  <c r="B1349" i="34" s="1"/>
  <c r="A1349" i="34" s="1"/>
  <c r="C1348" i="34"/>
  <c r="B1348" i="34" s="1"/>
  <c r="K1347" i="34"/>
  <c r="C1347" i="34"/>
  <c r="B1347" i="34" s="1"/>
  <c r="A1347" i="34" s="1"/>
  <c r="K1346" i="34"/>
  <c r="C1346" i="34"/>
  <c r="B1346" i="34" s="1"/>
  <c r="K1345" i="34"/>
  <c r="C1345" i="34"/>
  <c r="B1345" i="34" s="1"/>
  <c r="A1345" i="34" s="1"/>
  <c r="C1344" i="34"/>
  <c r="B1344" i="34" s="1"/>
  <c r="K1343" i="34"/>
  <c r="C1343" i="34"/>
  <c r="B1343" i="34" s="1"/>
  <c r="A1343" i="34" s="1"/>
  <c r="K1342" i="34"/>
  <c r="C1342" i="34"/>
  <c r="B1342" i="34" s="1"/>
  <c r="K1341" i="34"/>
  <c r="C1341" i="34"/>
  <c r="B1341" i="34" s="1"/>
  <c r="A1341" i="34" s="1"/>
  <c r="K1340" i="34"/>
  <c r="C1340" i="34"/>
  <c r="B1340" i="34" s="1"/>
  <c r="K1339" i="34"/>
  <c r="C1339" i="34"/>
  <c r="B1339" i="34" s="1"/>
  <c r="A1339" i="34" s="1"/>
  <c r="K1338" i="34"/>
  <c r="C1338" i="34"/>
  <c r="B1338" i="34" s="1"/>
  <c r="C1337" i="34"/>
  <c r="B1337" i="34" s="1"/>
  <c r="A1337" i="34" s="1"/>
  <c r="K1336" i="34"/>
  <c r="C1336" i="34"/>
  <c r="B1336" i="34" s="1"/>
  <c r="K1335" i="34"/>
  <c r="C1335" i="34"/>
  <c r="B1335" i="34" s="1"/>
  <c r="A1335" i="34" s="1"/>
  <c r="K1334" i="34"/>
  <c r="C1334" i="34"/>
  <c r="B1334" i="34" s="1"/>
  <c r="C1333" i="34"/>
  <c r="B1333" i="34" s="1"/>
  <c r="A1333" i="34" s="1"/>
  <c r="K1332" i="34"/>
  <c r="C1332" i="34"/>
  <c r="B1332" i="34" s="1"/>
  <c r="K1331" i="34"/>
  <c r="C1331" i="34"/>
  <c r="B1331" i="34" s="1"/>
  <c r="A1331" i="34" s="1"/>
  <c r="K1330" i="34"/>
  <c r="C1330" i="34"/>
  <c r="B1330" i="34" s="1"/>
  <c r="K1329" i="34"/>
  <c r="C1329" i="34"/>
  <c r="B1329" i="34" s="1"/>
  <c r="A1329" i="34" s="1"/>
  <c r="C1328" i="34"/>
  <c r="B1328" i="34" s="1"/>
  <c r="K1327" i="34"/>
  <c r="C1327" i="34"/>
  <c r="B1327" i="34" s="1"/>
  <c r="A1327" i="34" s="1"/>
  <c r="K1326" i="34"/>
  <c r="C1326" i="34"/>
  <c r="B1326" i="34" s="1"/>
  <c r="K1325" i="34"/>
  <c r="C1325" i="34"/>
  <c r="B1325" i="34" s="1"/>
  <c r="A1325" i="34" s="1"/>
  <c r="K1324" i="34"/>
  <c r="C1324" i="34"/>
  <c r="B1324" i="34" s="1"/>
  <c r="C1323" i="34"/>
  <c r="B1323" i="34" s="1"/>
  <c r="A1323" i="34" s="1"/>
  <c r="K1322" i="34"/>
  <c r="C1322" i="34"/>
  <c r="C1321" i="34"/>
  <c r="B1321" i="34" s="1"/>
  <c r="A1321" i="34" s="1"/>
  <c r="K1320" i="34"/>
  <c r="C1320" i="34"/>
  <c r="B1320" i="34" s="1"/>
  <c r="C1319" i="34"/>
  <c r="B1319" i="34" s="1"/>
  <c r="A1319" i="34" s="1"/>
  <c r="K1318" i="34"/>
  <c r="C1318" i="34"/>
  <c r="B1318" i="34" s="1"/>
  <c r="C1317" i="34"/>
  <c r="B1317" i="34" s="1"/>
  <c r="A1317" i="34" s="1"/>
  <c r="K1316" i="34"/>
  <c r="C1316" i="34"/>
  <c r="B1316" i="34" s="1"/>
  <c r="K1315" i="34"/>
  <c r="C1315" i="34"/>
  <c r="B1315" i="34" s="1"/>
  <c r="A1315" i="34" s="1"/>
  <c r="C1314" i="34"/>
  <c r="B1314" i="34" s="1"/>
  <c r="K1313" i="34"/>
  <c r="C1313" i="34"/>
  <c r="B1313" i="34" s="1"/>
  <c r="A1313" i="34" s="1"/>
  <c r="K1312" i="34"/>
  <c r="C1312" i="34"/>
  <c r="B1312" i="34" s="1"/>
  <c r="C1311" i="34"/>
  <c r="B1311" i="34" s="1"/>
  <c r="A1311" i="34" s="1"/>
  <c r="K1310" i="34"/>
  <c r="C1310" i="34"/>
  <c r="B1310" i="34" s="1"/>
  <c r="C1309" i="34"/>
  <c r="B1309" i="34" s="1"/>
  <c r="A1309" i="34" s="1"/>
  <c r="K1308" i="34"/>
  <c r="C1308" i="34"/>
  <c r="B1308" i="34" s="1"/>
  <c r="K1307" i="34"/>
  <c r="C1307" i="34"/>
  <c r="B1307" i="34" s="1"/>
  <c r="A1307" i="34" s="1"/>
  <c r="K1306" i="34"/>
  <c r="C1306" i="34"/>
  <c r="B1306" i="34" s="1"/>
  <c r="C1305" i="34"/>
  <c r="B1305" i="34" s="1"/>
  <c r="A1305" i="34" s="1"/>
  <c r="K1304" i="34"/>
  <c r="C1304" i="34"/>
  <c r="B1304" i="34" s="1"/>
  <c r="K1303" i="34"/>
  <c r="C1303" i="34"/>
  <c r="B1303" i="34" s="1"/>
  <c r="A1303" i="34" s="1"/>
  <c r="K1302" i="34"/>
  <c r="C1302" i="34"/>
  <c r="B1302" i="34" s="1"/>
  <c r="K1301" i="34"/>
  <c r="C1301" i="34"/>
  <c r="B1301" i="34" s="1"/>
  <c r="A1301" i="34" s="1"/>
  <c r="C1300" i="34"/>
  <c r="K1299" i="34"/>
  <c r="C1299" i="34"/>
  <c r="B1299" i="34" s="1"/>
  <c r="A1299" i="34" s="1"/>
  <c r="K1298" i="34"/>
  <c r="C1298" i="34"/>
  <c r="B1298" i="34" s="1"/>
  <c r="C1297" i="34"/>
  <c r="B1297" i="34" s="1"/>
  <c r="A1297" i="34" s="1"/>
  <c r="K1296" i="34"/>
  <c r="C1296" i="34"/>
  <c r="B1296" i="34" s="1"/>
  <c r="C1295" i="34"/>
  <c r="B1295" i="34" s="1"/>
  <c r="A1295" i="34" s="1"/>
  <c r="K1294" i="34"/>
  <c r="C1294" i="34"/>
  <c r="B1294" i="34" s="1"/>
  <c r="K1293" i="34"/>
  <c r="C1293" i="34"/>
  <c r="C1292" i="34"/>
  <c r="K1291" i="34"/>
  <c r="C1291" i="34"/>
  <c r="K1290" i="34"/>
  <c r="C1290" i="34"/>
  <c r="K1289" i="34"/>
  <c r="C1289" i="34"/>
  <c r="K1288" i="34"/>
  <c r="C1288" i="34"/>
  <c r="K1287" i="34"/>
  <c r="C1287" i="34"/>
  <c r="K1286" i="34"/>
  <c r="C1286" i="34"/>
  <c r="C1285" i="34"/>
  <c r="K1284" i="34"/>
  <c r="C1284" i="34"/>
  <c r="K1283" i="34"/>
  <c r="C1283" i="34"/>
  <c r="C1282" i="34"/>
  <c r="K1281" i="34"/>
  <c r="C1281" i="34"/>
  <c r="K1280" i="34"/>
  <c r="C1280" i="34"/>
  <c r="K1279" i="34"/>
  <c r="C1279" i="34"/>
  <c r="C1278" i="34"/>
  <c r="K1277" i="34"/>
  <c r="C1277" i="34"/>
  <c r="K1276" i="34"/>
  <c r="C1276" i="34"/>
  <c r="C1275" i="34"/>
  <c r="K1274" i="34"/>
  <c r="C1274" i="34"/>
  <c r="K1273" i="34"/>
  <c r="C1273" i="34"/>
  <c r="C1272" i="34"/>
  <c r="K1271" i="34"/>
  <c r="C1271" i="34"/>
  <c r="C1270" i="34"/>
  <c r="K1269" i="34"/>
  <c r="C1269" i="34"/>
  <c r="K1268" i="34"/>
  <c r="C1268" i="34"/>
  <c r="C1267" i="34"/>
  <c r="K1266" i="34"/>
  <c r="C1266" i="34"/>
  <c r="C1265" i="34"/>
  <c r="K1264" i="34"/>
  <c r="C1264" i="34"/>
  <c r="K1263" i="34"/>
  <c r="C1263" i="34"/>
  <c r="K1262" i="34"/>
  <c r="C1262" i="34"/>
  <c r="K1261" i="34"/>
  <c r="C1261" i="34"/>
  <c r="C1260" i="34"/>
  <c r="K1259" i="34"/>
  <c r="C1259" i="34"/>
  <c r="B1259" i="34" s="1"/>
  <c r="A1259" i="34" s="1"/>
  <c r="K1258" i="34"/>
  <c r="C1258" i="34"/>
  <c r="C1257" i="34"/>
  <c r="B1257" i="34" s="1"/>
  <c r="K1256" i="34"/>
  <c r="C1256" i="34"/>
  <c r="B1256" i="34" s="1"/>
  <c r="C1255" i="34"/>
  <c r="B1255" i="34" s="1"/>
  <c r="A1255" i="34" s="1"/>
  <c r="K1254" i="34"/>
  <c r="C1254" i="34"/>
  <c r="B1254" i="34" s="1"/>
  <c r="A1254" i="34" s="1"/>
  <c r="C1253" i="34"/>
  <c r="B1253" i="34" s="1"/>
  <c r="K1252" i="34"/>
  <c r="C1252" i="34"/>
  <c r="B1252" i="34" s="1"/>
  <c r="K1251" i="34"/>
  <c r="C1251" i="34"/>
  <c r="B1251" i="34" s="1"/>
  <c r="A1251" i="34" s="1"/>
  <c r="C1250" i="34"/>
  <c r="K1249" i="34"/>
  <c r="C1249" i="34"/>
  <c r="B1249" i="34" s="1"/>
  <c r="C1248" i="34"/>
  <c r="B1248" i="34" s="1"/>
  <c r="K1247" i="34"/>
  <c r="C1247" i="34"/>
  <c r="B1247" i="34" s="1"/>
  <c r="A1247" i="34" s="1"/>
  <c r="K1246" i="34"/>
  <c r="C1246" i="34"/>
  <c r="B1246" i="34" s="1"/>
  <c r="A1246" i="34" s="1"/>
  <c r="K1245" i="34"/>
  <c r="C1245" i="34"/>
  <c r="B1245" i="34" s="1"/>
  <c r="C1244" i="34"/>
  <c r="B1244" i="34" s="1"/>
  <c r="K1243" i="34"/>
  <c r="C1243" i="34"/>
  <c r="B1243" i="34" s="1"/>
  <c r="A1243" i="34" s="1"/>
  <c r="C1242" i="34"/>
  <c r="B1242" i="34" s="1"/>
  <c r="A1242" i="34" s="1"/>
  <c r="K1241" i="34"/>
  <c r="C1241" i="34"/>
  <c r="B1241" i="34" s="1"/>
  <c r="C1240" i="34"/>
  <c r="B1240" i="34" s="1"/>
  <c r="K1239" i="34"/>
  <c r="C1239" i="34"/>
  <c r="B1239" i="34" s="1"/>
  <c r="A1239" i="34" s="1"/>
  <c r="K1238" i="34"/>
  <c r="C1238" i="34"/>
  <c r="C1237" i="34"/>
  <c r="B1237" i="34" s="1"/>
  <c r="K1236" i="34"/>
  <c r="C1236" i="34"/>
  <c r="B1236" i="34" s="1"/>
  <c r="C1235" i="34"/>
  <c r="B1235" i="34" s="1"/>
  <c r="A1235" i="34" s="1"/>
  <c r="C1234" i="34"/>
  <c r="B1234" i="34" s="1"/>
  <c r="A1234" i="34" s="1"/>
  <c r="C1233" i="34"/>
  <c r="B1233" i="34" s="1"/>
  <c r="K1232" i="34"/>
  <c r="C1232" i="34"/>
  <c r="B1232" i="34" s="1"/>
  <c r="C1231" i="34"/>
  <c r="B1231" i="34" s="1"/>
  <c r="A1231" i="34" s="1"/>
  <c r="K1230" i="34"/>
  <c r="C1230" i="34"/>
  <c r="B1230" i="34" s="1"/>
  <c r="A1230" i="34" s="1"/>
  <c r="C1229" i="34"/>
  <c r="K1228" i="34"/>
  <c r="C1228" i="34"/>
  <c r="B1228" i="34" s="1"/>
  <c r="K1227" i="34"/>
  <c r="C1227" i="34"/>
  <c r="B1227" i="34" s="1"/>
  <c r="A1227" i="34" s="1"/>
  <c r="C1226" i="34"/>
  <c r="B1226" i="34" s="1"/>
  <c r="A1226" i="34" s="1"/>
  <c r="K1225" i="34"/>
  <c r="C1225" i="34"/>
  <c r="B1225" i="34" s="1"/>
  <c r="K1224" i="34"/>
  <c r="C1224" i="34"/>
  <c r="B1224" i="34" s="1"/>
  <c r="C1223" i="34"/>
  <c r="B1223" i="34" s="1"/>
  <c r="A1223" i="34" s="1"/>
  <c r="K1222" i="34"/>
  <c r="C1222" i="34"/>
  <c r="K1221" i="34"/>
  <c r="C1221" i="34"/>
  <c r="B1221" i="34" s="1"/>
  <c r="K1220" i="34"/>
  <c r="C1220" i="34"/>
  <c r="B1220" i="34" s="1"/>
  <c r="K1219" i="34"/>
  <c r="C1219" i="34"/>
  <c r="B1219" i="34" s="1"/>
  <c r="A1219" i="34" s="1"/>
  <c r="K1218" i="34"/>
  <c r="C1218" i="34"/>
  <c r="B1218" i="34" s="1"/>
  <c r="A1218" i="34" s="1"/>
  <c r="C1217" i="34"/>
  <c r="B1217" i="34" s="1"/>
  <c r="A1217" i="34" s="1"/>
  <c r="K1216" i="34"/>
  <c r="C1216" i="34"/>
  <c r="B1216" i="34" s="1"/>
  <c r="K1215" i="34"/>
  <c r="C1215" i="34"/>
  <c r="B1215" i="34" s="1"/>
  <c r="A1215" i="34" s="1"/>
  <c r="C1214" i="34"/>
  <c r="B1214" i="34" s="1"/>
  <c r="A1214" i="34" s="1"/>
  <c r="K1213" i="34"/>
  <c r="C1213" i="34"/>
  <c r="B1213" i="34" s="1"/>
  <c r="K1212" i="34"/>
  <c r="C1212" i="34"/>
  <c r="B1212" i="34" s="1"/>
  <c r="C1211" i="34"/>
  <c r="B1211" i="34" s="1"/>
  <c r="A1211" i="34" s="1"/>
  <c r="K1210" i="34"/>
  <c r="C1210" i="34"/>
  <c r="B1210" i="34" s="1"/>
  <c r="A1210" i="34" s="1"/>
  <c r="C1209" i="34"/>
  <c r="B1209" i="34" s="1"/>
  <c r="K1208" i="34"/>
  <c r="C1208" i="34"/>
  <c r="B1208" i="34" s="1"/>
  <c r="C1207" i="34"/>
  <c r="B1207" i="34" s="1"/>
  <c r="A1207" i="34" s="1"/>
  <c r="K1206" i="34"/>
  <c r="C1206" i="34"/>
  <c r="B1206" i="34" s="1"/>
  <c r="A1206" i="34" s="1"/>
  <c r="K1205" i="34"/>
  <c r="C1205" i="34"/>
  <c r="B1205" i="34" s="1"/>
  <c r="A1205" i="34" s="1"/>
  <c r="K1204" i="34"/>
  <c r="C1204" i="34"/>
  <c r="B1204" i="34" s="1"/>
  <c r="C1203" i="34"/>
  <c r="B1203" i="34" s="1"/>
  <c r="A1203" i="34" s="1"/>
  <c r="K1202" i="34"/>
  <c r="C1202" i="34"/>
  <c r="B1202" i="34" s="1"/>
  <c r="A1202" i="34" s="1"/>
  <c r="K1201" i="34"/>
  <c r="C1201" i="34"/>
  <c r="B1201" i="34" s="1"/>
  <c r="K1200" i="34"/>
  <c r="C1200" i="34"/>
  <c r="B1200" i="34" s="1"/>
  <c r="C1199" i="34"/>
  <c r="B1199" i="34" s="1"/>
  <c r="A1199" i="34" s="1"/>
  <c r="K1198" i="34"/>
  <c r="C1198" i="34"/>
  <c r="B1198" i="34" s="1"/>
  <c r="A1198" i="34" s="1"/>
  <c r="C1197" i="34"/>
  <c r="B1197" i="34" s="1"/>
  <c r="K1196" i="34"/>
  <c r="C1196" i="34"/>
  <c r="B1196" i="34" s="1"/>
  <c r="C1195" i="34"/>
  <c r="B1195" i="34" s="1"/>
  <c r="A1195" i="34" s="1"/>
  <c r="K1194" i="34"/>
  <c r="C1194" i="34"/>
  <c r="B1194" i="34" s="1"/>
  <c r="A1194" i="34" s="1"/>
  <c r="C1193" i="34"/>
  <c r="B1193" i="34" s="1"/>
  <c r="K1192" i="34"/>
  <c r="C1192" i="34"/>
  <c r="B1192" i="34" s="1"/>
  <c r="C1191" i="34"/>
  <c r="B1191" i="34" s="1"/>
  <c r="A1191" i="34" s="1"/>
  <c r="C1190" i="34"/>
  <c r="C1189" i="34"/>
  <c r="B1189" i="34" s="1"/>
  <c r="C1188" i="34"/>
  <c r="B1188" i="34" s="1"/>
  <c r="C1187" i="34"/>
  <c r="B1187" i="34" s="1"/>
  <c r="A1187" i="34" s="1"/>
  <c r="K1186" i="34"/>
  <c r="C1186" i="34"/>
  <c r="B1186" i="34" s="1"/>
  <c r="A1186" i="34" s="1"/>
  <c r="K1185" i="34"/>
  <c r="C1185" i="34"/>
  <c r="B1185" i="34" s="1"/>
  <c r="C1184" i="34"/>
  <c r="B1184" i="34" s="1"/>
  <c r="K1183" i="34"/>
  <c r="C1183" i="34"/>
  <c r="B1183" i="34" s="1"/>
  <c r="A1183" i="34" s="1"/>
  <c r="C1182" i="34"/>
  <c r="B1182" i="34" s="1"/>
  <c r="A1182" i="34" s="1"/>
  <c r="K1181" i="34"/>
  <c r="C1181" i="34"/>
  <c r="B1181" i="34" s="1"/>
  <c r="C1180" i="34"/>
  <c r="B1180" i="34" s="1"/>
  <c r="K1179" i="34"/>
  <c r="C1179" i="34"/>
  <c r="B1179" i="34" s="1"/>
  <c r="A1179" i="34" s="1"/>
  <c r="C1178" i="34"/>
  <c r="B1178" i="34" s="1"/>
  <c r="A1178" i="34" s="1"/>
  <c r="K1177" i="34"/>
  <c r="C1177" i="34"/>
  <c r="B1177" i="34" s="1"/>
  <c r="C1176" i="34"/>
  <c r="B1176" i="34" s="1"/>
  <c r="K1175" i="34"/>
  <c r="C1175" i="34"/>
  <c r="B1175" i="34" s="1"/>
  <c r="A1175" i="34" s="1"/>
  <c r="K1174" i="34"/>
  <c r="C1174" i="34"/>
  <c r="K1173" i="34"/>
  <c r="C1173" i="34"/>
  <c r="B1173" i="34" s="1"/>
  <c r="C1172" i="34"/>
  <c r="B1172" i="34" s="1"/>
  <c r="K1171" i="34"/>
  <c r="C1171" i="34"/>
  <c r="B1171" i="34" s="1"/>
  <c r="A1171" i="34" s="1"/>
  <c r="C1170" i="34"/>
  <c r="B1170" i="34" s="1"/>
  <c r="A1170" i="34" s="1"/>
  <c r="K1169" i="34"/>
  <c r="C1169" i="34"/>
  <c r="K1168" i="34"/>
  <c r="C1168" i="34"/>
  <c r="B1168" i="34" s="1"/>
  <c r="K1167" i="34"/>
  <c r="C1167" i="34"/>
  <c r="B1167" i="34" s="1"/>
  <c r="A1167" i="34" s="1"/>
  <c r="C1166" i="34"/>
  <c r="B1166" i="34" s="1"/>
  <c r="A1166" i="34" s="1"/>
  <c r="K1165" i="34"/>
  <c r="C1165" i="34"/>
  <c r="B1165" i="34" s="1"/>
  <c r="C1164" i="34"/>
  <c r="B1164" i="34" s="1"/>
  <c r="K1163" i="34"/>
  <c r="C1163" i="34"/>
  <c r="B1163" i="34" s="1"/>
  <c r="A1163" i="34" s="1"/>
  <c r="C1162" i="34"/>
  <c r="B1162" i="34" s="1"/>
  <c r="A1162" i="34" s="1"/>
  <c r="K1161" i="34"/>
  <c r="C1161" i="34"/>
  <c r="B1161" i="34" s="1"/>
  <c r="C1160" i="34"/>
  <c r="B1160" i="34" s="1"/>
  <c r="K1159" i="34"/>
  <c r="C1159" i="34"/>
  <c r="B1159" i="34" s="1"/>
  <c r="A1159" i="34" s="1"/>
  <c r="C1158" i="34"/>
  <c r="B1158" i="34" s="1"/>
  <c r="A1158" i="34" s="1"/>
  <c r="C1157" i="34"/>
  <c r="B1157" i="34" s="1"/>
  <c r="C1156" i="34"/>
  <c r="B1156" i="34" s="1"/>
  <c r="K1155" i="34"/>
  <c r="C1155" i="34"/>
  <c r="B1155" i="34" s="1"/>
  <c r="A1155" i="34" s="1"/>
  <c r="K1154" i="34"/>
  <c r="C1154" i="34"/>
  <c r="B1154" i="34" s="1"/>
  <c r="A1154" i="34" s="1"/>
  <c r="C1153" i="34"/>
  <c r="B1153" i="34" s="1"/>
  <c r="K1152" i="34"/>
  <c r="C1152" i="34"/>
  <c r="B1152" i="34" s="1"/>
  <c r="C1151" i="34"/>
  <c r="B1151" i="34" s="1"/>
  <c r="A1151" i="34" s="1"/>
  <c r="K1150" i="34"/>
  <c r="C1150" i="34"/>
  <c r="B1150" i="34" s="1"/>
  <c r="A1150" i="34" s="1"/>
  <c r="C1149" i="34"/>
  <c r="B1149" i="34" s="1"/>
  <c r="K1148" i="34"/>
  <c r="C1148" i="34"/>
  <c r="B1148" i="34" s="1"/>
  <c r="K1147" i="34"/>
  <c r="C1147" i="34"/>
  <c r="B1147" i="34" s="1"/>
  <c r="A1147" i="34" s="1"/>
  <c r="C1146" i="34"/>
  <c r="B1146" i="34" s="1"/>
  <c r="A1146" i="34" s="1"/>
  <c r="K1145" i="34"/>
  <c r="C1145" i="34"/>
  <c r="B1145" i="34" s="1"/>
  <c r="K1144" i="34"/>
  <c r="C1144" i="34"/>
  <c r="B1144" i="34" s="1"/>
  <c r="C1143" i="34"/>
  <c r="B1143" i="34" s="1"/>
  <c r="A1143" i="34" s="1"/>
  <c r="K1142" i="34"/>
  <c r="C1142" i="34"/>
  <c r="B1142" i="34" s="1"/>
  <c r="A1142" i="34" s="1"/>
  <c r="K1141" i="34"/>
  <c r="C1141" i="34"/>
  <c r="B1141" i="34" s="1"/>
  <c r="K1140" i="34"/>
  <c r="C1140" i="34"/>
  <c r="B1140" i="34" s="1"/>
  <c r="C1139" i="34"/>
  <c r="B1139" i="34" s="1"/>
  <c r="A1139" i="34" s="1"/>
  <c r="K1138" i="34"/>
  <c r="C1138" i="34"/>
  <c r="B1138" i="34" s="1"/>
  <c r="A1138" i="34" s="1"/>
  <c r="C1137" i="34"/>
  <c r="B1137" i="34" s="1"/>
  <c r="K1136" i="34"/>
  <c r="C1136" i="34"/>
  <c r="B1136" i="34" s="1"/>
  <c r="K1135" i="34"/>
  <c r="C1135" i="34"/>
  <c r="B1135" i="34" s="1"/>
  <c r="A1135" i="34" s="1"/>
  <c r="C1134" i="34"/>
  <c r="B1134" i="34" s="1"/>
  <c r="A1134" i="34" s="1"/>
  <c r="K1133" i="34"/>
  <c r="C1133" i="34"/>
  <c r="B1133" i="34" s="1"/>
  <c r="K1132" i="34"/>
  <c r="C1132" i="34"/>
  <c r="B1132" i="34" s="1"/>
  <c r="K1131" i="34"/>
  <c r="C1131" i="34"/>
  <c r="B1131" i="34" s="1"/>
  <c r="A1131" i="34" s="1"/>
  <c r="C1130" i="34"/>
  <c r="B1130" i="34" s="1"/>
  <c r="A1130" i="34" s="1"/>
  <c r="K1129" i="34"/>
  <c r="C1129" i="34"/>
  <c r="B1129" i="34" s="1"/>
  <c r="K1128" i="34"/>
  <c r="C1128" i="34"/>
  <c r="B1128" i="34" s="1"/>
  <c r="K1127" i="34"/>
  <c r="C1127" i="34"/>
  <c r="B1127" i="34" s="1"/>
  <c r="A1127" i="34" s="1"/>
  <c r="C1126" i="34"/>
  <c r="B1126" i="34" s="1"/>
  <c r="A1126" i="34" s="1"/>
  <c r="K1125" i="34"/>
  <c r="C1125" i="34"/>
  <c r="B1125" i="34" s="1"/>
  <c r="K1124" i="34"/>
  <c r="C1124" i="34"/>
  <c r="B1124" i="34" s="1"/>
  <c r="K1123" i="34"/>
  <c r="C1123" i="34"/>
  <c r="B1123" i="34" s="1"/>
  <c r="A1123" i="34" s="1"/>
  <c r="K1122" i="34"/>
  <c r="C1122" i="34"/>
  <c r="B1122" i="34" s="1"/>
  <c r="A1122" i="34" s="1"/>
  <c r="C1121" i="34"/>
  <c r="B1121" i="34" s="1"/>
  <c r="K1120" i="34"/>
  <c r="C1120" i="34"/>
  <c r="B1120" i="34" s="1"/>
  <c r="K1119" i="34"/>
  <c r="C1119" i="34"/>
  <c r="B1119" i="34" s="1"/>
  <c r="A1119" i="34" s="1"/>
  <c r="C1118" i="34"/>
  <c r="B1118" i="34" s="1"/>
  <c r="A1118" i="34" s="1"/>
  <c r="K1117" i="34"/>
  <c r="C1117" i="34"/>
  <c r="B1117" i="34" s="1"/>
  <c r="K1116" i="34"/>
  <c r="C1116" i="34"/>
  <c r="B1116" i="34" s="1"/>
  <c r="K1115" i="34"/>
  <c r="C1115" i="34"/>
  <c r="B1115" i="34" s="1"/>
  <c r="A1115" i="34" s="1"/>
  <c r="K1114" i="34"/>
  <c r="C1114" i="34"/>
  <c r="B1114" i="34" s="1"/>
  <c r="A1114" i="34" s="1"/>
  <c r="C1113" i="34"/>
  <c r="B1113" i="34" s="1"/>
  <c r="K1112" i="34"/>
  <c r="C1112" i="34"/>
  <c r="B1112" i="34" s="1"/>
  <c r="K1111" i="34"/>
  <c r="C1111" i="34"/>
  <c r="B1111" i="34" s="1"/>
  <c r="A1111" i="34" s="1"/>
  <c r="K1110" i="34"/>
  <c r="C1110" i="34"/>
  <c r="B1110" i="34" s="1"/>
  <c r="A1110" i="34" s="1"/>
  <c r="K1109" i="34"/>
  <c r="C1109" i="34"/>
  <c r="B1109" i="34" s="1"/>
  <c r="C1108" i="34"/>
  <c r="B1108" i="34" s="1"/>
  <c r="K1107" i="34"/>
  <c r="C1107" i="34"/>
  <c r="B1107" i="34" s="1"/>
  <c r="A1107" i="34" s="1"/>
  <c r="C1106" i="34"/>
  <c r="B1106" i="34" s="1"/>
  <c r="A1106" i="34" s="1"/>
  <c r="K1105" i="34"/>
  <c r="C1105" i="34"/>
  <c r="B1105" i="34" s="1"/>
  <c r="C1104" i="34"/>
  <c r="B1104" i="34" s="1"/>
  <c r="K1103" i="34"/>
  <c r="C1103" i="34"/>
  <c r="B1103" i="34" s="1"/>
  <c r="A1103" i="34" s="1"/>
  <c r="C1102" i="34"/>
  <c r="B1102" i="34" s="1"/>
  <c r="A1102" i="34" s="1"/>
  <c r="K1101" i="34"/>
  <c r="C1101" i="34"/>
  <c r="B1101" i="34" s="1"/>
  <c r="K1100" i="34"/>
  <c r="C1100" i="34"/>
  <c r="B1100" i="34" s="1"/>
  <c r="K1099" i="34"/>
  <c r="C1099" i="34"/>
  <c r="B1099" i="34" s="1"/>
  <c r="A1099" i="34" s="1"/>
  <c r="C1098" i="34"/>
  <c r="B1098" i="34" s="1"/>
  <c r="A1098" i="34" s="1"/>
  <c r="K1097" i="34"/>
  <c r="C1097" i="34"/>
  <c r="B1097" i="34" s="1"/>
  <c r="K1096" i="34"/>
  <c r="C1096" i="34"/>
  <c r="B1096" i="34" s="1"/>
  <c r="K1095" i="34"/>
  <c r="C1095" i="34"/>
  <c r="B1095" i="34" s="1"/>
  <c r="A1095" i="34" s="1"/>
  <c r="K1094" i="34"/>
  <c r="C1094" i="34"/>
  <c r="B1094" i="34" s="1"/>
  <c r="A1094" i="34" s="1"/>
  <c r="K1093" i="34"/>
  <c r="C1093" i="34"/>
  <c r="B1093" i="34" s="1"/>
  <c r="C1092" i="34"/>
  <c r="B1092" i="34" s="1"/>
  <c r="K1091" i="34"/>
  <c r="C1091" i="34"/>
  <c r="B1091" i="34" s="1"/>
  <c r="A1091" i="34" s="1"/>
  <c r="K1090" i="34"/>
  <c r="C1090" i="34"/>
  <c r="B1090" i="34" s="1"/>
  <c r="A1090" i="34" s="1"/>
  <c r="C1089" i="34"/>
  <c r="B1089" i="34" s="1"/>
  <c r="K1088" i="34"/>
  <c r="C1088" i="34"/>
  <c r="B1088" i="34" s="1"/>
  <c r="C1087" i="34"/>
  <c r="B1087" i="34" s="1"/>
  <c r="A1087" i="34" s="1"/>
  <c r="K1086" i="34"/>
  <c r="C1086" i="34"/>
  <c r="B1086" i="34" s="1"/>
  <c r="A1086" i="34" s="1"/>
  <c r="K1085" i="34"/>
  <c r="C1085" i="34"/>
  <c r="B1085" i="34" s="1"/>
  <c r="C1084" i="34"/>
  <c r="B1084" i="34" s="1"/>
  <c r="K1083" i="34"/>
  <c r="C1083" i="34"/>
  <c r="B1083" i="34" s="1"/>
  <c r="A1083" i="34" s="1"/>
  <c r="K1082" i="34"/>
  <c r="C1082" i="34"/>
  <c r="B1082" i="34" s="1"/>
  <c r="A1082" i="34" s="1"/>
  <c r="K1081" i="34"/>
  <c r="C1081" i="34"/>
  <c r="B1081" i="34" s="1"/>
  <c r="C1080" i="34"/>
  <c r="B1080" i="34" s="1"/>
  <c r="K1079" i="34"/>
  <c r="C1079" i="34"/>
  <c r="B1079" i="34" s="1"/>
  <c r="A1079" i="34" s="1"/>
  <c r="C1078" i="34"/>
  <c r="B1078" i="34" s="1"/>
  <c r="A1078" i="34" s="1"/>
  <c r="K1077" i="34"/>
  <c r="C1077" i="34"/>
  <c r="B1077" i="34" s="1"/>
  <c r="K1076" i="34"/>
  <c r="C1076" i="34"/>
  <c r="B1076" i="34" s="1"/>
  <c r="C1075" i="34"/>
  <c r="B1075" i="34" s="1"/>
  <c r="A1075" i="34" s="1"/>
  <c r="K1074" i="34"/>
  <c r="C1074" i="34"/>
  <c r="B1074" i="34" s="1"/>
  <c r="A1074" i="34" s="1"/>
  <c r="C1073" i="34"/>
  <c r="B1073" i="34" s="1"/>
  <c r="K1072" i="34"/>
  <c r="C1072" i="34"/>
  <c r="B1072" i="34" s="1"/>
  <c r="K1071" i="34"/>
  <c r="C1071" i="34"/>
  <c r="B1071" i="34" s="1"/>
  <c r="A1071" i="34" s="1"/>
  <c r="K1070" i="34"/>
  <c r="C1070" i="34"/>
  <c r="B1070" i="34" s="1"/>
  <c r="A1070" i="34" s="1"/>
  <c r="K1069" i="34"/>
  <c r="C1069" i="34"/>
  <c r="B1069" i="34" s="1"/>
  <c r="C1068" i="34"/>
  <c r="B1068" i="34" s="1"/>
  <c r="K1067" i="34"/>
  <c r="C1067" i="34"/>
  <c r="B1067" i="34" s="1"/>
  <c r="A1067" i="34" s="1"/>
  <c r="C1066" i="34"/>
  <c r="B1066" i="34" s="1"/>
  <c r="A1066" i="34" s="1"/>
  <c r="K1065" i="34"/>
  <c r="C1065" i="34"/>
  <c r="B1065" i="34" s="1"/>
  <c r="K1064" i="34"/>
  <c r="C1064" i="34"/>
  <c r="B1064" i="34" s="1"/>
  <c r="K1063" i="34"/>
  <c r="C1063" i="34"/>
  <c r="B1063" i="34" s="1"/>
  <c r="A1063" i="34" s="1"/>
  <c r="K1062" i="34"/>
  <c r="C1062" i="34"/>
  <c r="B1062" i="34" s="1"/>
  <c r="A1062" i="34" s="1"/>
  <c r="K1061" i="34"/>
  <c r="C1061" i="34"/>
  <c r="B1061" i="34" s="1"/>
  <c r="K1060" i="34"/>
  <c r="C1060" i="34"/>
  <c r="B1060" i="34" s="1"/>
  <c r="C1059" i="34"/>
  <c r="B1059" i="34" s="1"/>
  <c r="A1059" i="34" s="1"/>
  <c r="K1058" i="34"/>
  <c r="C1058" i="34"/>
  <c r="B1058" i="34" s="1"/>
  <c r="A1058" i="34" s="1"/>
  <c r="K1057" i="34"/>
  <c r="C1057" i="34"/>
  <c r="B1057" i="34" s="1"/>
  <c r="C1056" i="34"/>
  <c r="B1056" i="34" s="1"/>
  <c r="K1055" i="34"/>
  <c r="C1055" i="34"/>
  <c r="B1055" i="34" s="1"/>
  <c r="A1055" i="34" s="1"/>
  <c r="K1054" i="34"/>
  <c r="C1054" i="34"/>
  <c r="B1054" i="34" s="1"/>
  <c r="A1054" i="34" s="1"/>
  <c r="C1053" i="34"/>
  <c r="B1053" i="34" s="1"/>
  <c r="K1052" i="34"/>
  <c r="C1052" i="34"/>
  <c r="B1052" i="34" s="1"/>
  <c r="C1051" i="34"/>
  <c r="B1051" i="34" s="1"/>
  <c r="A1051" i="34" s="1"/>
  <c r="C1050" i="34"/>
  <c r="B1050" i="34" s="1"/>
  <c r="A1050" i="34" s="1"/>
  <c r="C1049" i="34"/>
  <c r="B1049" i="34" s="1"/>
  <c r="K1048" i="34"/>
  <c r="C1048" i="34"/>
  <c r="B1048" i="34" s="1"/>
  <c r="K1047" i="34"/>
  <c r="C1047" i="34"/>
  <c r="B1047" i="34" s="1"/>
  <c r="A1047" i="34" s="1"/>
  <c r="C1046" i="34"/>
  <c r="B1046" i="34" s="1"/>
  <c r="A1046" i="34" s="1"/>
  <c r="K1045" i="34"/>
  <c r="C1045" i="34"/>
  <c r="B1045" i="34" s="1"/>
  <c r="C1044" i="34"/>
  <c r="B1044" i="34" s="1"/>
  <c r="C1043" i="34"/>
  <c r="B1043" i="34" s="1"/>
  <c r="A1043" i="34" s="1"/>
  <c r="C1042" i="34"/>
  <c r="B1042" i="34" s="1"/>
  <c r="A1042" i="34" s="1"/>
  <c r="C1041" i="34"/>
  <c r="B1041" i="34" s="1"/>
  <c r="C1040" i="34"/>
  <c r="B1040" i="34" s="1"/>
  <c r="K1039" i="34"/>
  <c r="C1039" i="34"/>
  <c r="B1039" i="34" s="1"/>
  <c r="A1039" i="34" s="1"/>
  <c r="K1038" i="34"/>
  <c r="C1038" i="34"/>
  <c r="B1038" i="34" s="1"/>
  <c r="A1038" i="34" s="1"/>
  <c r="K1037" i="34"/>
  <c r="C1037" i="34"/>
  <c r="B1037" i="34" s="1"/>
  <c r="C1036" i="34"/>
  <c r="B1036" i="34" s="1"/>
  <c r="K1035" i="34"/>
  <c r="C1035" i="34"/>
  <c r="B1035" i="34" s="1"/>
  <c r="A1035" i="34" s="1"/>
  <c r="K1034" i="34"/>
  <c r="C1034" i="34"/>
  <c r="B1034" i="34" s="1"/>
  <c r="A1034" i="34" s="1"/>
  <c r="K1033" i="34"/>
  <c r="C1033" i="34"/>
  <c r="B1033" i="34" s="1"/>
  <c r="K1032" i="34"/>
  <c r="C1032" i="34"/>
  <c r="B1032" i="34" s="1"/>
  <c r="K1031" i="34"/>
  <c r="C1031" i="34"/>
  <c r="B1031" i="34" s="1"/>
  <c r="A1031" i="34" s="1"/>
  <c r="C1030" i="34"/>
  <c r="B1030" i="34" s="1"/>
  <c r="A1030" i="34" s="1"/>
  <c r="K1029" i="34"/>
  <c r="C1029" i="34"/>
  <c r="B1029" i="34" s="1"/>
  <c r="C1028" i="34"/>
  <c r="B1028" i="34" s="1"/>
  <c r="K1027" i="34"/>
  <c r="C1027" i="34"/>
  <c r="B1027" i="34" s="1"/>
  <c r="A1027" i="34" s="1"/>
  <c r="K1026" i="34"/>
  <c r="C1026" i="34"/>
  <c r="B1026" i="34" s="1"/>
  <c r="A1026" i="34" s="1"/>
  <c r="K1025" i="34"/>
  <c r="C1025" i="34"/>
  <c r="B1025" i="34" s="1"/>
  <c r="K1024" i="34"/>
  <c r="C1024" i="34"/>
  <c r="B1024" i="34" s="1"/>
  <c r="K1023" i="34"/>
  <c r="C1023" i="34"/>
  <c r="B1023" i="34" s="1"/>
  <c r="A1023" i="34" s="1"/>
  <c r="C1022" i="34"/>
  <c r="B1022" i="34" s="1"/>
  <c r="A1022" i="34" s="1"/>
  <c r="K1021" i="34"/>
  <c r="C1021" i="34"/>
  <c r="B1021" i="34" s="1"/>
  <c r="A1021" i="34" s="1"/>
  <c r="C1020" i="34"/>
  <c r="B1020" i="34" s="1"/>
  <c r="A1020" i="34" s="1"/>
  <c r="K1019" i="34"/>
  <c r="C1019" i="34"/>
  <c r="B1019" i="34" s="1"/>
  <c r="A1019" i="34" s="1"/>
  <c r="K1018" i="34"/>
  <c r="C1018" i="34"/>
  <c r="B1018" i="34" s="1"/>
  <c r="A1018" i="34" s="1"/>
  <c r="C1017" i="34"/>
  <c r="B1017" i="34" s="1"/>
  <c r="A1017" i="34" s="1"/>
  <c r="K1016" i="34"/>
  <c r="C1016" i="34"/>
  <c r="B1016" i="34" s="1"/>
  <c r="A1016" i="34" s="1"/>
  <c r="C1015" i="34"/>
  <c r="B1015" i="34" s="1"/>
  <c r="A1015" i="34" s="1"/>
  <c r="K1014" i="34"/>
  <c r="C1014" i="34"/>
  <c r="B1014" i="34" s="1"/>
  <c r="A1014" i="34" s="1"/>
  <c r="K1013" i="34"/>
  <c r="C1013" i="34"/>
  <c r="B1013" i="34" s="1"/>
  <c r="A1013" i="34" s="1"/>
  <c r="C1012" i="34"/>
  <c r="B1012" i="34" s="1"/>
  <c r="A1012" i="34" s="1"/>
  <c r="K1011" i="34"/>
  <c r="C1011" i="34"/>
  <c r="B1011" i="34" s="1"/>
  <c r="A1011" i="34" s="1"/>
  <c r="K1010" i="34"/>
  <c r="C1010" i="34"/>
  <c r="B1010" i="34" s="1"/>
  <c r="A1010" i="34" s="1"/>
  <c r="K1009" i="34"/>
  <c r="C1009" i="34"/>
  <c r="B1009" i="34" s="1"/>
  <c r="K1008" i="34"/>
  <c r="C1008" i="34"/>
  <c r="B1008" i="34" s="1"/>
  <c r="K1007" i="34"/>
  <c r="C1007" i="34"/>
  <c r="B1007" i="34" s="1"/>
  <c r="A1007" i="34" s="1"/>
  <c r="C1006" i="34"/>
  <c r="B1006" i="34" s="1"/>
  <c r="A1006" i="34" s="1"/>
  <c r="K1005" i="34"/>
  <c r="C1005" i="34"/>
  <c r="B1005" i="34" s="1"/>
  <c r="C1004" i="34"/>
  <c r="B1004" i="34" s="1"/>
  <c r="K1003" i="34"/>
  <c r="C1003" i="34"/>
  <c r="B1003" i="34" s="1"/>
  <c r="A1003" i="34" s="1"/>
  <c r="K1002" i="34"/>
  <c r="C1002" i="34"/>
  <c r="B1002" i="34" s="1"/>
  <c r="A1002" i="34" s="1"/>
  <c r="K1001" i="34"/>
  <c r="C1001" i="34"/>
  <c r="B1001" i="34" s="1"/>
  <c r="K1000" i="34"/>
  <c r="C1000" i="34"/>
  <c r="B1000" i="34" s="1"/>
  <c r="C999" i="34"/>
  <c r="B999" i="34" s="1"/>
  <c r="A999" i="34" s="1"/>
  <c r="K998" i="34"/>
  <c r="C998" i="34"/>
  <c r="B998" i="34" s="1"/>
  <c r="A998" i="34" s="1"/>
  <c r="C997" i="34"/>
  <c r="B997" i="34" s="1"/>
  <c r="K996" i="34"/>
  <c r="C996" i="34"/>
  <c r="B996" i="34" s="1"/>
  <c r="C995" i="34"/>
  <c r="B995" i="34" s="1"/>
  <c r="A995" i="34" s="1"/>
  <c r="K994" i="34"/>
  <c r="C994" i="34"/>
  <c r="B994" i="34" s="1"/>
  <c r="A994" i="34" s="1"/>
  <c r="C993" i="34"/>
  <c r="B993" i="34" s="1"/>
  <c r="C992" i="34"/>
  <c r="B992" i="34" s="1"/>
  <c r="C991" i="34"/>
  <c r="B991" i="34" s="1"/>
  <c r="A991" i="34" s="1"/>
  <c r="K990" i="34"/>
  <c r="C990" i="34"/>
  <c r="B990" i="34" s="1"/>
  <c r="A990" i="34" s="1"/>
  <c r="C989" i="34"/>
  <c r="B989" i="34" s="1"/>
  <c r="K988" i="34"/>
  <c r="C988" i="34"/>
  <c r="B988" i="34" s="1"/>
  <c r="C987" i="34"/>
  <c r="B987" i="34" s="1"/>
  <c r="A987" i="34" s="1"/>
  <c r="K986" i="34"/>
  <c r="C986" i="34"/>
  <c r="B986" i="34" s="1"/>
  <c r="A986" i="34" s="1"/>
  <c r="C985" i="34"/>
  <c r="B985" i="34" s="1"/>
  <c r="K984" i="34"/>
  <c r="C984" i="34"/>
  <c r="B984" i="34" s="1"/>
  <c r="C983" i="34"/>
  <c r="B983" i="34" s="1"/>
  <c r="A983" i="34" s="1"/>
  <c r="K982" i="34"/>
  <c r="C982" i="34"/>
  <c r="B982" i="34" s="1"/>
  <c r="A982" i="34" s="1"/>
  <c r="K981" i="34"/>
  <c r="C981" i="34"/>
  <c r="B981" i="34" s="1"/>
  <c r="K980" i="34"/>
  <c r="C980" i="34"/>
  <c r="B980" i="34" s="1"/>
  <c r="K979" i="34"/>
  <c r="C979" i="34"/>
  <c r="B979" i="34" s="1"/>
  <c r="A979" i="34" s="1"/>
  <c r="K978" i="34"/>
  <c r="C978" i="34"/>
  <c r="B978" i="34" s="1"/>
  <c r="A978" i="34" s="1"/>
  <c r="C977" i="34"/>
  <c r="B977" i="34" s="1"/>
  <c r="K976" i="34"/>
  <c r="C976" i="34"/>
  <c r="B976" i="34" s="1"/>
  <c r="K975" i="34"/>
  <c r="C975" i="34"/>
  <c r="B975" i="34" s="1"/>
  <c r="A975" i="34" s="1"/>
  <c r="K974" i="34"/>
  <c r="C974" i="34"/>
  <c r="B974" i="34" s="1"/>
  <c r="A974" i="34" s="1"/>
  <c r="K973" i="34"/>
  <c r="C973" i="34"/>
  <c r="B973" i="34" s="1"/>
  <c r="K972" i="34"/>
  <c r="C972" i="34"/>
  <c r="B972" i="34" s="1"/>
  <c r="K971" i="34"/>
  <c r="C971" i="34"/>
  <c r="B971" i="34" s="1"/>
  <c r="A971" i="34" s="1"/>
  <c r="K970" i="34"/>
  <c r="C970" i="34"/>
  <c r="B970" i="34" s="1"/>
  <c r="A970" i="34" s="1"/>
  <c r="K969" i="34"/>
  <c r="C969" i="34"/>
  <c r="B969" i="34" s="1"/>
  <c r="C968" i="34"/>
  <c r="B968" i="34" s="1"/>
  <c r="K967" i="34"/>
  <c r="C967" i="34"/>
  <c r="B967" i="34" s="1"/>
  <c r="A967" i="34" s="1"/>
  <c r="K966" i="34"/>
  <c r="C966" i="34"/>
  <c r="B966" i="34" s="1"/>
  <c r="A966" i="34" s="1"/>
  <c r="K965" i="34"/>
  <c r="C965" i="34"/>
  <c r="B965" i="34" s="1"/>
  <c r="K964" i="34"/>
  <c r="C964" i="34"/>
  <c r="B964" i="34" s="1"/>
  <c r="C963" i="34"/>
  <c r="B963" i="34" s="1"/>
  <c r="A963" i="34" s="1"/>
  <c r="K962" i="34"/>
  <c r="C962" i="34"/>
  <c r="B962" i="34" s="1"/>
  <c r="A962" i="34" s="1"/>
  <c r="C961" i="34"/>
  <c r="B961" i="34" s="1"/>
  <c r="K960" i="34"/>
  <c r="C960" i="34"/>
  <c r="B960" i="34" s="1"/>
  <c r="C959" i="34"/>
  <c r="B959" i="34" s="1"/>
  <c r="A959" i="34" s="1"/>
  <c r="K958" i="34"/>
  <c r="C958" i="34"/>
  <c r="B958" i="34" s="1"/>
  <c r="A958" i="34" s="1"/>
  <c r="C957" i="34"/>
  <c r="K956" i="34"/>
  <c r="C956" i="34"/>
  <c r="K955" i="34"/>
  <c r="C955" i="34"/>
  <c r="K954" i="34"/>
  <c r="C954" i="34"/>
  <c r="K953" i="34"/>
  <c r="C953" i="34"/>
  <c r="K952" i="34"/>
  <c r="C952" i="34"/>
  <c r="B1638" i="34"/>
  <c r="Q1638" i="34" s="1"/>
  <c r="B1637" i="34"/>
  <c r="O1637" i="34" s="1"/>
  <c r="B1636" i="34"/>
  <c r="Q1636" i="34" s="1"/>
  <c r="B1635" i="34"/>
  <c r="O1635" i="34" s="1"/>
  <c r="B1634" i="34"/>
  <c r="Q1634" i="34" s="1"/>
  <c r="B1633" i="34"/>
  <c r="O1633" i="34" s="1"/>
  <c r="B1632" i="34"/>
  <c r="Q1632" i="34" s="1"/>
  <c r="B1631" i="34"/>
  <c r="O1631" i="34" s="1"/>
  <c r="B1630" i="34"/>
  <c r="Q1630" i="34" s="1"/>
  <c r="B1629" i="34"/>
  <c r="O1629" i="34" s="1"/>
  <c r="B1628" i="34"/>
  <c r="Q1628" i="34" s="1"/>
  <c r="B1627" i="34"/>
  <c r="O1627" i="34" s="1"/>
  <c r="B1626" i="34"/>
  <c r="Q1626" i="34" s="1"/>
  <c r="B1625" i="34"/>
  <c r="O1625" i="34" s="1"/>
  <c r="B1624" i="34"/>
  <c r="Q1624" i="34" s="1"/>
  <c r="B1623" i="34"/>
  <c r="O1623" i="34" s="1"/>
  <c r="B1622" i="34"/>
  <c r="Q1622" i="34" s="1"/>
  <c r="B1621" i="34"/>
  <c r="O1621" i="34" s="1"/>
  <c r="B1620" i="34"/>
  <c r="Q1620" i="34" s="1"/>
  <c r="B1619" i="34"/>
  <c r="O1619" i="34" s="1"/>
  <c r="B1618" i="34"/>
  <c r="Q1618" i="34" s="1"/>
  <c r="B1617" i="34"/>
  <c r="O1617" i="34" s="1"/>
  <c r="B1616" i="34"/>
  <c r="Q1616" i="34" s="1"/>
  <c r="B1615" i="34"/>
  <c r="O1615" i="34" s="1"/>
  <c r="B1614" i="34"/>
  <c r="Q1614" i="34" s="1"/>
  <c r="B1613" i="34"/>
  <c r="O1613" i="34" s="1"/>
  <c r="B1612" i="34"/>
  <c r="Q1612" i="34" s="1"/>
  <c r="B1611" i="34"/>
  <c r="O1611" i="34" s="1"/>
  <c r="B1610" i="34"/>
  <c r="Q1610" i="34" s="1"/>
  <c r="B1609" i="34"/>
  <c r="O1609" i="34" s="1"/>
  <c r="B1608" i="34"/>
  <c r="Q1608" i="34" s="1"/>
  <c r="B1607" i="34"/>
  <c r="O1607" i="34" s="1"/>
  <c r="B1606" i="34"/>
  <c r="Q1606" i="34" s="1"/>
  <c r="B1605" i="34"/>
  <c r="O1605" i="34" s="1"/>
  <c r="B1604" i="34"/>
  <c r="Q1604" i="34" s="1"/>
  <c r="B1603" i="34"/>
  <c r="O1603" i="34" s="1"/>
  <c r="B1602" i="34"/>
  <c r="Q1602" i="34" s="1"/>
  <c r="B1601" i="34"/>
  <c r="O1601" i="34" s="1"/>
  <c r="B1600" i="34"/>
  <c r="Q1600" i="34" s="1"/>
  <c r="B1599" i="34"/>
  <c r="O1599" i="34" s="1"/>
  <c r="B1598" i="34"/>
  <c r="Q1598" i="34" s="1"/>
  <c r="B1597" i="34"/>
  <c r="O1597" i="34" s="1"/>
  <c r="B1596" i="34"/>
  <c r="Q1596" i="34" s="1"/>
  <c r="B1595" i="34"/>
  <c r="O1595" i="34" s="1"/>
  <c r="B1594" i="34"/>
  <c r="Q1594" i="34" s="1"/>
  <c r="B1593" i="34"/>
  <c r="O1593" i="34" s="1"/>
  <c r="B1592" i="34"/>
  <c r="Q1592" i="34" s="1"/>
  <c r="B1591" i="34"/>
  <c r="P1591" i="34" s="1"/>
  <c r="B1590" i="34"/>
  <c r="Q1590" i="34" s="1"/>
  <c r="B1589" i="34"/>
  <c r="B1588" i="34"/>
  <c r="Q1588" i="34" s="1"/>
  <c r="B1587" i="34"/>
  <c r="B1586" i="34"/>
  <c r="B1585" i="34"/>
  <c r="A1585" i="34" s="1"/>
  <c r="B1584" i="34"/>
  <c r="P1584" i="34" s="1"/>
  <c r="B1583" i="34"/>
  <c r="A1583" i="34" s="1"/>
  <c r="B1582" i="34"/>
  <c r="B1581" i="34"/>
  <c r="A1581" i="34" s="1"/>
  <c r="B1580" i="34"/>
  <c r="B1579" i="34"/>
  <c r="B1578" i="34"/>
  <c r="B1577" i="34"/>
  <c r="A1577" i="34" s="1"/>
  <c r="B1576" i="34"/>
  <c r="A1576" i="34" s="1"/>
  <c r="B1575" i="34"/>
  <c r="A1575" i="34" s="1"/>
  <c r="B1574" i="34"/>
  <c r="A1574" i="34" s="1"/>
  <c r="B1573" i="34"/>
  <c r="A1573" i="34" s="1"/>
  <c r="B1572" i="34"/>
  <c r="A1572" i="34" s="1"/>
  <c r="B1571" i="34"/>
  <c r="A1571" i="34" s="1"/>
  <c r="B1570" i="34"/>
  <c r="A1570" i="34" s="1"/>
  <c r="B1569" i="34"/>
  <c r="A1569" i="34" s="1"/>
  <c r="B1568" i="34"/>
  <c r="A1568" i="34" s="1"/>
  <c r="B1567" i="34"/>
  <c r="A1567" i="34" s="1"/>
  <c r="B1566" i="34"/>
  <c r="A1566" i="34" s="1"/>
  <c r="B1565" i="34"/>
  <c r="A1565" i="34" s="1"/>
  <c r="B1564" i="34"/>
  <c r="A1564" i="34" s="1"/>
  <c r="B1563" i="34"/>
  <c r="A1563" i="34" s="1"/>
  <c r="B1562" i="34"/>
  <c r="A1562" i="34" s="1"/>
  <c r="B1561" i="34"/>
  <c r="A1561" i="34" s="1"/>
  <c r="B1560" i="34"/>
  <c r="A1560" i="34" s="1"/>
  <c r="B1559" i="34"/>
  <c r="A1559" i="34" s="1"/>
  <c r="B1558" i="34"/>
  <c r="A1558" i="34" s="1"/>
  <c r="B1557" i="34"/>
  <c r="A1557" i="34" s="1"/>
  <c r="B1556" i="34"/>
  <c r="A1556" i="34" s="1"/>
  <c r="B1555" i="34"/>
  <c r="A1555" i="34" s="1"/>
  <c r="B1554" i="34"/>
  <c r="A1554" i="34" s="1"/>
  <c r="B1553" i="34"/>
  <c r="A1553" i="34" s="1"/>
  <c r="B1552" i="34"/>
  <c r="A1552" i="34" s="1"/>
  <c r="B1551" i="34"/>
  <c r="A1551" i="34" s="1"/>
  <c r="B1550" i="34"/>
  <c r="A1550" i="34" s="1"/>
  <c r="B1549" i="34"/>
  <c r="A1549" i="34" s="1"/>
  <c r="B1548" i="34"/>
  <c r="A1548" i="34" s="1"/>
  <c r="B1547" i="34"/>
  <c r="A1547" i="34" s="1"/>
  <c r="B1546" i="34"/>
  <c r="A1546" i="34" s="1"/>
  <c r="B1545" i="34"/>
  <c r="A1545" i="34" s="1"/>
  <c r="B1544" i="34"/>
  <c r="A1544" i="34" s="1"/>
  <c r="B1543" i="34"/>
  <c r="A1543" i="34" s="1"/>
  <c r="B1542" i="34"/>
  <c r="A1542" i="34" s="1"/>
  <c r="B1541" i="34"/>
  <c r="A1541" i="34" s="1"/>
  <c r="B1540" i="34"/>
  <c r="A1540" i="34" s="1"/>
  <c r="B1539" i="34"/>
  <c r="A1539" i="34" s="1"/>
  <c r="B1538" i="34"/>
  <c r="A1538" i="34" s="1"/>
  <c r="B1537" i="34"/>
  <c r="A1537" i="34" s="1"/>
  <c r="B1536" i="34"/>
  <c r="A1536" i="34" s="1"/>
  <c r="B1535" i="34"/>
  <c r="A1535" i="34" s="1"/>
  <c r="B1534" i="34"/>
  <c r="A1534" i="34" s="1"/>
  <c r="B1533" i="34"/>
  <c r="A1533" i="34" s="1"/>
  <c r="B1532" i="34"/>
  <c r="A1532" i="34" s="1"/>
  <c r="B1531" i="34"/>
  <c r="A1531" i="34" s="1"/>
  <c r="B1530" i="34"/>
  <c r="A1530" i="34" s="1"/>
  <c r="B1529" i="34"/>
  <c r="A1529" i="34" s="1"/>
  <c r="B1528" i="34"/>
  <c r="A1528" i="34" s="1"/>
  <c r="B1527" i="34"/>
  <c r="A1527" i="34" s="1"/>
  <c r="B1526" i="34"/>
  <c r="A1526" i="34" s="1"/>
  <c r="B1525" i="34"/>
  <c r="A1525" i="34" s="1"/>
  <c r="B1524" i="34"/>
  <c r="A1524" i="34" s="1"/>
  <c r="B1523" i="34"/>
  <c r="B1522" i="34"/>
  <c r="B1521" i="34"/>
  <c r="B1520" i="34"/>
  <c r="B1519" i="34"/>
  <c r="B1518" i="34"/>
  <c r="B1517" i="34"/>
  <c r="B1516" i="34"/>
  <c r="B1515" i="34"/>
  <c r="B1514" i="34"/>
  <c r="B1513" i="34"/>
  <c r="B1512" i="34"/>
  <c r="B1511" i="34"/>
  <c r="B1510" i="34"/>
  <c r="B1509" i="34"/>
  <c r="B1508" i="34"/>
  <c r="B1507" i="34"/>
  <c r="B1506" i="34"/>
  <c r="B1505" i="34"/>
  <c r="B1504" i="34"/>
  <c r="B1503" i="34"/>
  <c r="B1502" i="34"/>
  <c r="B1501" i="34"/>
  <c r="B1500" i="34"/>
  <c r="B1499" i="34"/>
  <c r="B1498" i="34"/>
  <c r="B1497" i="34"/>
  <c r="B1496" i="34"/>
  <c r="B1495" i="34"/>
  <c r="B1494" i="34"/>
  <c r="B1493" i="34"/>
  <c r="B1492" i="34"/>
  <c r="B1491" i="34"/>
  <c r="B1490" i="34"/>
  <c r="B1489" i="34"/>
  <c r="A1489" i="34" s="1"/>
  <c r="B1488" i="34"/>
  <c r="B1487" i="34"/>
  <c r="A1487" i="34" s="1"/>
  <c r="B1486" i="34"/>
  <c r="B1485" i="34"/>
  <c r="A1485" i="34" s="1"/>
  <c r="B1484" i="34"/>
  <c r="B1483" i="34"/>
  <c r="A1483" i="34" s="1"/>
  <c r="B1482" i="34"/>
  <c r="B1481" i="34"/>
  <c r="A1481" i="34" s="1"/>
  <c r="B1480" i="34"/>
  <c r="B1479" i="34"/>
  <c r="A1479" i="34" s="1"/>
  <c r="B1478" i="34"/>
  <c r="B1477" i="34"/>
  <c r="A1477" i="34" s="1"/>
  <c r="B1476" i="34"/>
  <c r="B1475" i="34"/>
  <c r="A1475" i="34" s="1"/>
  <c r="B1474" i="34"/>
  <c r="B1473" i="34"/>
  <c r="A1473" i="34" s="1"/>
  <c r="B1472" i="34"/>
  <c r="B1471" i="34"/>
  <c r="A1471" i="34" s="1"/>
  <c r="B1470" i="34"/>
  <c r="B1469" i="34"/>
  <c r="A1469" i="34" s="1"/>
  <c r="B1468" i="34"/>
  <c r="B1467" i="34"/>
  <c r="A1467" i="34" s="1"/>
  <c r="B1466" i="34"/>
  <c r="B1465" i="34"/>
  <c r="A1465" i="34" s="1"/>
  <c r="B1464" i="34"/>
  <c r="B1463" i="34"/>
  <c r="A1463" i="34" s="1"/>
  <c r="B1462" i="34"/>
  <c r="B1461" i="34"/>
  <c r="A1461" i="34" s="1"/>
  <c r="B1460" i="34"/>
  <c r="B1459" i="34"/>
  <c r="A1459" i="34" s="1"/>
  <c r="B1458" i="34"/>
  <c r="B1457" i="34"/>
  <c r="A1457" i="34" s="1"/>
  <c r="B1456" i="34"/>
  <c r="B1455" i="34"/>
  <c r="A1455" i="34" s="1"/>
  <c r="B1454" i="34"/>
  <c r="B1453" i="34"/>
  <c r="A1453" i="34" s="1"/>
  <c r="B1452" i="34"/>
  <c r="B1451" i="34"/>
  <c r="A1451" i="34" s="1"/>
  <c r="B1450" i="34"/>
  <c r="B1449" i="34"/>
  <c r="A1449" i="34" s="1"/>
  <c r="B1448" i="34"/>
  <c r="B1447" i="34"/>
  <c r="A1447" i="34" s="1"/>
  <c r="B1446" i="34"/>
  <c r="B1445" i="34"/>
  <c r="A1445" i="34" s="1"/>
  <c r="B1444" i="34"/>
  <c r="B1443" i="34"/>
  <c r="A1443" i="34" s="1"/>
  <c r="B1442" i="34"/>
  <c r="B1441" i="34"/>
  <c r="A1441" i="34" s="1"/>
  <c r="B1440" i="34"/>
  <c r="B1439" i="34"/>
  <c r="A1439" i="34" s="1"/>
  <c r="B1438" i="34"/>
  <c r="B1437" i="34"/>
  <c r="A1437" i="34" s="1"/>
  <c r="B1436" i="34"/>
  <c r="B1435" i="34"/>
  <c r="A1435" i="34" s="1"/>
  <c r="B1434" i="34"/>
  <c r="B1433" i="34"/>
  <c r="A1433" i="34" s="1"/>
  <c r="B1432" i="34"/>
  <c r="B1431" i="34"/>
  <c r="A1431" i="34" s="1"/>
  <c r="B1430" i="34"/>
  <c r="B1429" i="34"/>
  <c r="A1429" i="34" s="1"/>
  <c r="B1428" i="34"/>
  <c r="B1427" i="34"/>
  <c r="A1427" i="34" s="1"/>
  <c r="B1426" i="34"/>
  <c r="B1425" i="34"/>
  <c r="A1425" i="34" s="1"/>
  <c r="B1424" i="34"/>
  <c r="B1423" i="34"/>
  <c r="A1423" i="34" s="1"/>
  <c r="B1422" i="34"/>
  <c r="B1421" i="34"/>
  <c r="A1421" i="34" s="1"/>
  <c r="B1420" i="34"/>
  <c r="B1419" i="34"/>
  <c r="A1419" i="34" s="1"/>
  <c r="B1418" i="34"/>
  <c r="B1417" i="34"/>
  <c r="A1417" i="34" s="1"/>
  <c r="B1416" i="34"/>
  <c r="B1415" i="34"/>
  <c r="A1415" i="34" s="1"/>
  <c r="B1414" i="34"/>
  <c r="B1413" i="34"/>
  <c r="A1413" i="34" s="1"/>
  <c r="B1412" i="34"/>
  <c r="B1411" i="34"/>
  <c r="A1411" i="34" s="1"/>
  <c r="B1410" i="34"/>
  <c r="B1409" i="34"/>
  <c r="A1409" i="34" s="1"/>
  <c r="B1408" i="34"/>
  <c r="B1407" i="34"/>
  <c r="A1407" i="34" s="1"/>
  <c r="B1406" i="34"/>
  <c r="B1405" i="34"/>
  <c r="A1405" i="34" s="1"/>
  <c r="B1404" i="34"/>
  <c r="B1403" i="34"/>
  <c r="A1403" i="34" s="1"/>
  <c r="B1402" i="34"/>
  <c r="B1401" i="34"/>
  <c r="A1401" i="34" s="1"/>
  <c r="B1400" i="34"/>
  <c r="B1399" i="34"/>
  <c r="A1399" i="34" s="1"/>
  <c r="B1398" i="34"/>
  <c r="B1397" i="34"/>
  <c r="A1397" i="34" s="1"/>
  <c r="B1396" i="34"/>
  <c r="B1395" i="34"/>
  <c r="A1395" i="34" s="1"/>
  <c r="B1394" i="34"/>
  <c r="B1393" i="34"/>
  <c r="A1393" i="34" s="1"/>
  <c r="B1392" i="34"/>
  <c r="B1391" i="34"/>
  <c r="A1391" i="34" s="1"/>
  <c r="B1390" i="34"/>
  <c r="B1389" i="34"/>
  <c r="A1389" i="34" s="1"/>
  <c r="B1388" i="34"/>
  <c r="B1386" i="34"/>
  <c r="B1385" i="34"/>
  <c r="A1385" i="34" s="1"/>
  <c r="B1382" i="34"/>
  <c r="B1322" i="34"/>
  <c r="B1300" i="34"/>
  <c r="B1190" i="34"/>
  <c r="A1190" i="34" s="1"/>
  <c r="B1174" i="34"/>
  <c r="A1174" i="34" s="1"/>
  <c r="B1169" i="34"/>
  <c r="B1222" i="34"/>
  <c r="A1222" i="34" s="1"/>
  <c r="B1258" i="34"/>
  <c r="A1258" i="34" s="1"/>
  <c r="B1250" i="34"/>
  <c r="A1250" i="34" s="1"/>
  <c r="B1238" i="34"/>
  <c r="A1238" i="34" s="1"/>
  <c r="B1229" i="34"/>
  <c r="O1229" i="34" l="1"/>
  <c r="AA1229" i="34"/>
  <c r="P1229" i="34"/>
  <c r="X1229" i="34"/>
  <c r="Q1229" i="34"/>
  <c r="O1233" i="34"/>
  <c r="AA1233" i="34"/>
  <c r="P1233" i="34"/>
  <c r="X1233" i="34"/>
  <c r="Q1233" i="34"/>
  <c r="O1237" i="34"/>
  <c r="AA1237" i="34"/>
  <c r="P1237" i="34"/>
  <c r="X1237" i="34"/>
  <c r="Q1237" i="34"/>
  <c r="O1241" i="34"/>
  <c r="AA1241" i="34"/>
  <c r="P1241" i="34"/>
  <c r="X1241" i="34"/>
  <c r="Q1241" i="34"/>
  <c r="O1245" i="34"/>
  <c r="AA1245" i="34"/>
  <c r="P1245" i="34"/>
  <c r="X1245" i="34"/>
  <c r="Q1245" i="34"/>
  <c r="O1249" i="34"/>
  <c r="AA1249" i="34"/>
  <c r="P1249" i="34"/>
  <c r="X1249" i="34"/>
  <c r="Q1249" i="34"/>
  <c r="O1253" i="34"/>
  <c r="AA1253" i="34"/>
  <c r="P1253" i="34"/>
  <c r="X1253" i="34"/>
  <c r="Q1253" i="34"/>
  <c r="Q1228" i="34"/>
  <c r="O1228" i="34"/>
  <c r="AA1228" i="34"/>
  <c r="P1228" i="34"/>
  <c r="X1228" i="34"/>
  <c r="Q1232" i="34"/>
  <c r="O1232" i="34"/>
  <c r="AA1232" i="34"/>
  <c r="P1232" i="34"/>
  <c r="X1232" i="34"/>
  <c r="Q1236" i="34"/>
  <c r="O1236" i="34"/>
  <c r="AA1236" i="34"/>
  <c r="P1236" i="34"/>
  <c r="X1236" i="34"/>
  <c r="Q1240" i="34"/>
  <c r="O1240" i="34"/>
  <c r="AA1240" i="34"/>
  <c r="P1240" i="34"/>
  <c r="X1240" i="34"/>
  <c r="Q1244" i="34"/>
  <c r="O1244" i="34"/>
  <c r="AA1244" i="34"/>
  <c r="P1244" i="34"/>
  <c r="X1244" i="34"/>
  <c r="Q1248" i="34"/>
  <c r="O1248" i="34"/>
  <c r="AA1248" i="34"/>
  <c r="P1248" i="34"/>
  <c r="X1248" i="34"/>
  <c r="Q1252" i="34"/>
  <c r="O1252" i="34"/>
  <c r="AA1252" i="34"/>
  <c r="P1252" i="34"/>
  <c r="X1252" i="34"/>
  <c r="Q1256" i="34"/>
  <c r="O1256" i="34"/>
  <c r="AA1256" i="34"/>
  <c r="P1256" i="34"/>
  <c r="X1256" i="34"/>
  <c r="Q1192" i="34"/>
  <c r="O1192" i="34"/>
  <c r="AA1192" i="34"/>
  <c r="P1192" i="34"/>
  <c r="X1192" i="34"/>
  <c r="Q1196" i="34"/>
  <c r="O1196" i="34"/>
  <c r="AA1196" i="34"/>
  <c r="P1196" i="34"/>
  <c r="X1196" i="34"/>
  <c r="Q1200" i="34"/>
  <c r="O1200" i="34"/>
  <c r="AA1200" i="34"/>
  <c r="P1200" i="34"/>
  <c r="X1200" i="34"/>
  <c r="Q1204" i="34"/>
  <c r="O1204" i="34"/>
  <c r="AA1204" i="34"/>
  <c r="P1204" i="34"/>
  <c r="X1204" i="34"/>
  <c r="Q1208" i="34"/>
  <c r="O1208" i="34"/>
  <c r="AA1208" i="34"/>
  <c r="P1208" i="34"/>
  <c r="X1208" i="34"/>
  <c r="Q1212" i="34"/>
  <c r="O1212" i="34"/>
  <c r="AA1212" i="34"/>
  <c r="P1212" i="34"/>
  <c r="X1212" i="34"/>
  <c r="Q1216" i="34"/>
  <c r="O1216" i="34"/>
  <c r="AA1216" i="34"/>
  <c r="P1216" i="34"/>
  <c r="X1216" i="34"/>
  <c r="Q1220" i="34"/>
  <c r="O1220" i="34"/>
  <c r="AA1220" i="34"/>
  <c r="P1220" i="34"/>
  <c r="X1220" i="34"/>
  <c r="Q1224" i="34"/>
  <c r="O1224" i="34"/>
  <c r="AA1224" i="34"/>
  <c r="P1224" i="34"/>
  <c r="X1224" i="34"/>
  <c r="Q1160" i="34"/>
  <c r="O1160" i="34"/>
  <c r="AA1160" i="34"/>
  <c r="P1160" i="34"/>
  <c r="X1160" i="34"/>
  <c r="Q1164" i="34"/>
  <c r="O1164" i="34"/>
  <c r="AA1164" i="34"/>
  <c r="P1164" i="34"/>
  <c r="X1164" i="34"/>
  <c r="Q1168" i="34"/>
  <c r="O1168" i="34"/>
  <c r="AA1168" i="34"/>
  <c r="P1168" i="34"/>
  <c r="X1168" i="34"/>
  <c r="Q1172" i="34"/>
  <c r="O1172" i="34"/>
  <c r="AA1172" i="34"/>
  <c r="P1172" i="34"/>
  <c r="X1172" i="34"/>
  <c r="Q1176" i="34"/>
  <c r="O1176" i="34"/>
  <c r="AA1176" i="34"/>
  <c r="P1176" i="34"/>
  <c r="X1176" i="34"/>
  <c r="Q1180" i="34"/>
  <c r="O1180" i="34"/>
  <c r="AA1180" i="34"/>
  <c r="P1180" i="34"/>
  <c r="X1180" i="34"/>
  <c r="Q1184" i="34"/>
  <c r="O1184" i="34"/>
  <c r="AA1184" i="34"/>
  <c r="P1184" i="34"/>
  <c r="X1184" i="34"/>
  <c r="Q1188" i="34"/>
  <c r="O1188" i="34"/>
  <c r="AA1188" i="34"/>
  <c r="P1188" i="34"/>
  <c r="X1188" i="34"/>
  <c r="P1124" i="34"/>
  <c r="X1124" i="34"/>
  <c r="Q1124" i="34"/>
  <c r="O1124" i="34"/>
  <c r="AA1124" i="34"/>
  <c r="P1128" i="34"/>
  <c r="X1128" i="34"/>
  <c r="Q1128" i="34"/>
  <c r="O1128" i="34"/>
  <c r="AA1128" i="34"/>
  <c r="P1132" i="34"/>
  <c r="X1132" i="34"/>
  <c r="Q1132" i="34"/>
  <c r="O1132" i="34"/>
  <c r="AA1132" i="34"/>
  <c r="P1136" i="34"/>
  <c r="X1136" i="34"/>
  <c r="O1136" i="34"/>
  <c r="AA1136" i="34"/>
  <c r="Q1136" i="34"/>
  <c r="O1140" i="34"/>
  <c r="AA1140" i="34"/>
  <c r="P1140" i="34"/>
  <c r="X1140" i="34"/>
  <c r="Q1140" i="34"/>
  <c r="Q1144" i="34"/>
  <c r="O1144" i="34"/>
  <c r="AA1144" i="34"/>
  <c r="P1144" i="34"/>
  <c r="X1144" i="34"/>
  <c r="Q1148" i="34"/>
  <c r="O1148" i="34"/>
  <c r="AA1148" i="34"/>
  <c r="P1148" i="34"/>
  <c r="X1148" i="34"/>
  <c r="Q1152" i="34"/>
  <c r="O1152" i="34"/>
  <c r="AA1152" i="34"/>
  <c r="P1152" i="34"/>
  <c r="X1152" i="34"/>
  <c r="Q1156" i="34"/>
  <c r="O1156" i="34"/>
  <c r="AA1156" i="34"/>
  <c r="P1156" i="34"/>
  <c r="X1156" i="34"/>
  <c r="P1092" i="34"/>
  <c r="X1092" i="34"/>
  <c r="Q1092" i="34"/>
  <c r="O1092" i="34"/>
  <c r="AA1092" i="34"/>
  <c r="P1096" i="34"/>
  <c r="X1096" i="34"/>
  <c r="Q1096" i="34"/>
  <c r="O1096" i="34"/>
  <c r="AA1096" i="34"/>
  <c r="P1100" i="34"/>
  <c r="X1100" i="34"/>
  <c r="Q1100" i="34"/>
  <c r="O1100" i="34"/>
  <c r="AA1100" i="34"/>
  <c r="P1104" i="34"/>
  <c r="X1104" i="34"/>
  <c r="Q1104" i="34"/>
  <c r="O1104" i="34"/>
  <c r="AA1104" i="34"/>
  <c r="P1108" i="34"/>
  <c r="X1108" i="34"/>
  <c r="Q1108" i="34"/>
  <c r="O1108" i="34"/>
  <c r="AA1108" i="34"/>
  <c r="P1112" i="34"/>
  <c r="X1112" i="34"/>
  <c r="Q1112" i="34"/>
  <c r="O1112" i="34"/>
  <c r="AA1112" i="34"/>
  <c r="P1116" i="34"/>
  <c r="X1116" i="34"/>
  <c r="Q1116" i="34"/>
  <c r="O1116" i="34"/>
  <c r="AA1116" i="34"/>
  <c r="P1120" i="34"/>
  <c r="X1120" i="34"/>
  <c r="Q1120" i="34"/>
  <c r="O1120" i="34"/>
  <c r="AA1120" i="34"/>
  <c r="P1056" i="34"/>
  <c r="X1056" i="34"/>
  <c r="Q1056" i="34"/>
  <c r="O1056" i="34"/>
  <c r="AA1056" i="34"/>
  <c r="P1060" i="34"/>
  <c r="X1060" i="34"/>
  <c r="Q1060" i="34"/>
  <c r="O1060" i="34"/>
  <c r="AA1060" i="34"/>
  <c r="P1064" i="34"/>
  <c r="X1064" i="34"/>
  <c r="Q1064" i="34"/>
  <c r="O1064" i="34"/>
  <c r="AA1064" i="34"/>
  <c r="P1068" i="34"/>
  <c r="X1068" i="34"/>
  <c r="Q1068" i="34"/>
  <c r="O1068" i="34"/>
  <c r="AA1068" i="34"/>
  <c r="P1072" i="34"/>
  <c r="X1072" i="34"/>
  <c r="Q1072" i="34"/>
  <c r="O1072" i="34"/>
  <c r="AA1072" i="34"/>
  <c r="P1076" i="34"/>
  <c r="X1076" i="34"/>
  <c r="Q1076" i="34"/>
  <c r="O1076" i="34"/>
  <c r="AA1076" i="34"/>
  <c r="P1080" i="34"/>
  <c r="X1080" i="34"/>
  <c r="Q1080" i="34"/>
  <c r="O1080" i="34"/>
  <c r="AA1080" i="34"/>
  <c r="P1084" i="34"/>
  <c r="X1084" i="34"/>
  <c r="Q1084" i="34"/>
  <c r="O1084" i="34"/>
  <c r="AA1084" i="34"/>
  <c r="P1088" i="34"/>
  <c r="X1088" i="34"/>
  <c r="Q1088" i="34"/>
  <c r="O1088" i="34"/>
  <c r="AA1088" i="34"/>
  <c r="P1024" i="34"/>
  <c r="X1024" i="34"/>
  <c r="Q1024" i="34"/>
  <c r="O1024" i="34"/>
  <c r="AA1024" i="34"/>
  <c r="P1028" i="34"/>
  <c r="X1028" i="34"/>
  <c r="Q1028" i="34"/>
  <c r="O1028" i="34"/>
  <c r="AA1028" i="34"/>
  <c r="P1032" i="34"/>
  <c r="X1032" i="34"/>
  <c r="Q1032" i="34"/>
  <c r="O1032" i="34"/>
  <c r="AA1032" i="34"/>
  <c r="P1036" i="34"/>
  <c r="X1036" i="34"/>
  <c r="Q1036" i="34"/>
  <c r="O1036" i="34"/>
  <c r="AA1036" i="34"/>
  <c r="P1040" i="34"/>
  <c r="X1040" i="34"/>
  <c r="Q1040" i="34"/>
  <c r="O1040" i="34"/>
  <c r="AA1040" i="34"/>
  <c r="P1044" i="34"/>
  <c r="X1044" i="34"/>
  <c r="Q1044" i="34"/>
  <c r="O1044" i="34"/>
  <c r="AA1044" i="34"/>
  <c r="P1048" i="34"/>
  <c r="X1048" i="34"/>
  <c r="Q1048" i="34"/>
  <c r="O1048" i="34"/>
  <c r="AA1048" i="34"/>
  <c r="P1052" i="34"/>
  <c r="X1052" i="34"/>
  <c r="Q1052" i="34"/>
  <c r="O1052" i="34"/>
  <c r="AA1052" i="34"/>
  <c r="P992" i="34"/>
  <c r="X992" i="34"/>
  <c r="Q992" i="34"/>
  <c r="O992" i="34"/>
  <c r="AA992" i="34"/>
  <c r="P996" i="34"/>
  <c r="X996" i="34"/>
  <c r="Q996" i="34"/>
  <c r="O996" i="34"/>
  <c r="AA996" i="34"/>
  <c r="P1000" i="34"/>
  <c r="X1000" i="34"/>
  <c r="Q1000" i="34"/>
  <c r="O1000" i="34"/>
  <c r="AA1000" i="34"/>
  <c r="P1004" i="34"/>
  <c r="X1004" i="34"/>
  <c r="Q1004" i="34"/>
  <c r="O1004" i="34"/>
  <c r="AA1004" i="34"/>
  <c r="P1008" i="34"/>
  <c r="X1008" i="34"/>
  <c r="Q1008" i="34"/>
  <c r="O1008" i="34"/>
  <c r="AA1008" i="34"/>
  <c r="P1012" i="34"/>
  <c r="X1012" i="34"/>
  <c r="Q1012" i="34"/>
  <c r="O1012" i="34"/>
  <c r="AA1012" i="34"/>
  <c r="P1016" i="34"/>
  <c r="X1016" i="34"/>
  <c r="Q1016" i="34"/>
  <c r="O1016" i="34"/>
  <c r="AA1016" i="34"/>
  <c r="P1020" i="34"/>
  <c r="X1020" i="34"/>
  <c r="Q1020" i="34"/>
  <c r="O1020" i="34"/>
  <c r="AA1020" i="34"/>
  <c r="P960" i="34"/>
  <c r="X960" i="34"/>
  <c r="Q960" i="34"/>
  <c r="O960" i="34"/>
  <c r="AA960" i="34"/>
  <c r="P964" i="34"/>
  <c r="X964" i="34"/>
  <c r="Q964" i="34"/>
  <c r="O964" i="34"/>
  <c r="AA964" i="34"/>
  <c r="P968" i="34"/>
  <c r="X968" i="34"/>
  <c r="Q968" i="34"/>
  <c r="O968" i="34"/>
  <c r="AA968" i="34"/>
  <c r="P972" i="34"/>
  <c r="X972" i="34"/>
  <c r="Q972" i="34"/>
  <c r="O972" i="34"/>
  <c r="AA972" i="34"/>
  <c r="P976" i="34"/>
  <c r="X976" i="34"/>
  <c r="Q976" i="34"/>
  <c r="O976" i="34"/>
  <c r="AA976" i="34"/>
  <c r="P980" i="34"/>
  <c r="X980" i="34"/>
  <c r="Q980" i="34"/>
  <c r="O980" i="34"/>
  <c r="AA980" i="34"/>
  <c r="P984" i="34"/>
  <c r="X984" i="34"/>
  <c r="Q984" i="34"/>
  <c r="O984" i="34"/>
  <c r="AA984" i="34"/>
  <c r="P988" i="34"/>
  <c r="X988" i="34"/>
  <c r="Q988" i="34"/>
  <c r="O988" i="34"/>
  <c r="AA988" i="34"/>
  <c r="Q1294" i="34"/>
  <c r="O1294" i="34"/>
  <c r="AA1294" i="34"/>
  <c r="P1294" i="34"/>
  <c r="X1294" i="34"/>
  <c r="Q1298" i="34"/>
  <c r="O1298" i="34"/>
  <c r="AA1298" i="34"/>
  <c r="P1298" i="34"/>
  <c r="X1298" i="34"/>
  <c r="Q1302" i="34"/>
  <c r="O1302" i="34"/>
  <c r="AA1302" i="34"/>
  <c r="P1302" i="34"/>
  <c r="X1302" i="34"/>
  <c r="Q1306" i="34"/>
  <c r="O1306" i="34"/>
  <c r="AA1306" i="34"/>
  <c r="P1306" i="34"/>
  <c r="X1306" i="34"/>
  <c r="Q1310" i="34"/>
  <c r="O1310" i="34"/>
  <c r="AA1310" i="34"/>
  <c r="P1310" i="34"/>
  <c r="X1310" i="34"/>
  <c r="Q1314" i="34"/>
  <c r="O1314" i="34"/>
  <c r="AA1314" i="34"/>
  <c r="P1314" i="34"/>
  <c r="X1314" i="34"/>
  <c r="Q1318" i="34"/>
  <c r="O1318" i="34"/>
  <c r="AA1318" i="34"/>
  <c r="P1318" i="34"/>
  <c r="X1318" i="34"/>
  <c r="Q1322" i="34"/>
  <c r="O1322" i="34"/>
  <c r="AA1322" i="34"/>
  <c r="P1322" i="34"/>
  <c r="X1322" i="34"/>
  <c r="Q1326" i="34"/>
  <c r="O1326" i="34"/>
  <c r="AA1326" i="34"/>
  <c r="P1326" i="34"/>
  <c r="X1326" i="34"/>
  <c r="Q1330" i="34"/>
  <c r="O1330" i="34"/>
  <c r="AA1330" i="34"/>
  <c r="P1330" i="34"/>
  <c r="X1330" i="34"/>
  <c r="Q1334" i="34"/>
  <c r="O1334" i="34"/>
  <c r="AA1334" i="34"/>
  <c r="P1334" i="34"/>
  <c r="X1334" i="34"/>
  <c r="Q1338" i="34"/>
  <c r="O1338" i="34"/>
  <c r="AA1338" i="34"/>
  <c r="P1338" i="34"/>
  <c r="X1338" i="34"/>
  <c r="Q1342" i="34"/>
  <c r="O1342" i="34"/>
  <c r="AA1342" i="34"/>
  <c r="P1342" i="34"/>
  <c r="X1342" i="34"/>
  <c r="Q1346" i="34"/>
  <c r="O1346" i="34"/>
  <c r="AA1346" i="34"/>
  <c r="P1346" i="34"/>
  <c r="X1346" i="34"/>
  <c r="Q1350" i="34"/>
  <c r="O1350" i="34"/>
  <c r="AA1350" i="34"/>
  <c r="P1350" i="34"/>
  <c r="X1350" i="34"/>
  <c r="Q1354" i="34"/>
  <c r="O1354" i="34"/>
  <c r="AA1354" i="34"/>
  <c r="P1354" i="34"/>
  <c r="X1354" i="34"/>
  <c r="Q1358" i="34"/>
  <c r="O1358" i="34"/>
  <c r="AA1358" i="34"/>
  <c r="P1358" i="34"/>
  <c r="X1358" i="34"/>
  <c r="O1362" i="34"/>
  <c r="AA1362" i="34"/>
  <c r="P1362" i="34"/>
  <c r="X1362" i="34"/>
  <c r="Q1362" i="34"/>
  <c r="O1366" i="34"/>
  <c r="AA1366" i="34"/>
  <c r="P1366" i="34"/>
  <c r="X1366" i="34"/>
  <c r="Q1366" i="34"/>
  <c r="O1370" i="34"/>
  <c r="AA1370" i="34"/>
  <c r="P1370" i="34"/>
  <c r="X1370" i="34"/>
  <c r="Q1370" i="34"/>
  <c r="O1374" i="34"/>
  <c r="AA1374" i="34"/>
  <c r="P1374" i="34"/>
  <c r="X1374" i="34"/>
  <c r="Q1374" i="34"/>
  <c r="O1378" i="34"/>
  <c r="AA1378" i="34"/>
  <c r="P1378" i="34"/>
  <c r="X1378" i="34"/>
  <c r="Q1378" i="34"/>
  <c r="O1382" i="34"/>
  <c r="AA1382" i="34"/>
  <c r="P1382" i="34"/>
  <c r="X1382" i="34"/>
  <c r="Q1382" i="34"/>
  <c r="O1386" i="34"/>
  <c r="AA1386" i="34"/>
  <c r="P1386" i="34"/>
  <c r="X1386" i="34"/>
  <c r="Q1386" i="34"/>
  <c r="O1390" i="34"/>
  <c r="AA1390" i="34"/>
  <c r="P1390" i="34"/>
  <c r="X1390" i="34"/>
  <c r="Q1390" i="34"/>
  <c r="O1394" i="34"/>
  <c r="AA1394" i="34"/>
  <c r="P1394" i="34"/>
  <c r="X1394" i="34"/>
  <c r="Q1394" i="34"/>
  <c r="O1398" i="34"/>
  <c r="AA1398" i="34"/>
  <c r="P1398" i="34"/>
  <c r="X1398" i="34"/>
  <c r="Q1398" i="34"/>
  <c r="O1402" i="34"/>
  <c r="AA1402" i="34"/>
  <c r="P1402" i="34"/>
  <c r="X1402" i="34"/>
  <c r="Q1402" i="34"/>
  <c r="O1406" i="34"/>
  <c r="AA1406" i="34"/>
  <c r="P1406" i="34"/>
  <c r="X1406" i="34"/>
  <c r="Q1406" i="34"/>
  <c r="O1410" i="34"/>
  <c r="AA1410" i="34"/>
  <c r="P1410" i="34"/>
  <c r="X1410" i="34"/>
  <c r="Q1410" i="34"/>
  <c r="O1414" i="34"/>
  <c r="AA1414" i="34"/>
  <c r="P1414" i="34"/>
  <c r="X1414" i="34"/>
  <c r="Q1414" i="34"/>
  <c r="O1418" i="34"/>
  <c r="AA1418" i="34"/>
  <c r="P1418" i="34"/>
  <c r="X1418" i="34"/>
  <c r="Q1418" i="34"/>
  <c r="O1422" i="34"/>
  <c r="AA1422" i="34"/>
  <c r="P1422" i="34"/>
  <c r="X1422" i="34"/>
  <c r="Q1422" i="34"/>
  <c r="O1426" i="34"/>
  <c r="AA1426" i="34"/>
  <c r="P1426" i="34"/>
  <c r="X1426" i="34"/>
  <c r="Q1426" i="34"/>
  <c r="O1430" i="34"/>
  <c r="AA1430" i="34"/>
  <c r="P1430" i="34"/>
  <c r="X1430" i="34"/>
  <c r="Q1430" i="34"/>
  <c r="O1434" i="34"/>
  <c r="AA1434" i="34"/>
  <c r="P1434" i="34"/>
  <c r="X1434" i="34"/>
  <c r="Q1434" i="34"/>
  <c r="O1438" i="34"/>
  <c r="AA1438" i="34"/>
  <c r="P1438" i="34"/>
  <c r="X1438" i="34"/>
  <c r="Q1438" i="34"/>
  <c r="O1442" i="34"/>
  <c r="AA1442" i="34"/>
  <c r="P1442" i="34"/>
  <c r="X1442" i="34"/>
  <c r="Q1442" i="34"/>
  <c r="O1446" i="34"/>
  <c r="AA1446" i="34"/>
  <c r="P1446" i="34"/>
  <c r="X1446" i="34"/>
  <c r="Q1446" i="34"/>
  <c r="O1450" i="34"/>
  <c r="AA1450" i="34"/>
  <c r="P1450" i="34"/>
  <c r="X1450" i="34"/>
  <c r="Q1450" i="34"/>
  <c r="O1454" i="34"/>
  <c r="AA1454" i="34"/>
  <c r="P1454" i="34"/>
  <c r="X1454" i="34"/>
  <c r="Q1454" i="34"/>
  <c r="O1458" i="34"/>
  <c r="AA1458" i="34"/>
  <c r="P1458" i="34"/>
  <c r="X1458" i="34"/>
  <c r="Q1458" i="34"/>
  <c r="O1462" i="34"/>
  <c r="AA1462" i="34"/>
  <c r="P1462" i="34"/>
  <c r="X1462" i="34"/>
  <c r="Q1462" i="34"/>
  <c r="O1466" i="34"/>
  <c r="AA1466" i="34"/>
  <c r="P1466" i="34"/>
  <c r="X1466" i="34"/>
  <c r="Q1466" i="34"/>
  <c r="O1470" i="34"/>
  <c r="AA1470" i="34"/>
  <c r="P1470" i="34"/>
  <c r="X1470" i="34"/>
  <c r="Q1470" i="34"/>
  <c r="O1474" i="34"/>
  <c r="AA1474" i="34"/>
  <c r="P1474" i="34"/>
  <c r="X1474" i="34"/>
  <c r="Q1474" i="34"/>
  <c r="O1478" i="34"/>
  <c r="AA1478" i="34"/>
  <c r="P1478" i="34"/>
  <c r="X1478" i="34"/>
  <c r="Q1478" i="34"/>
  <c r="O1482" i="34"/>
  <c r="AA1482" i="34"/>
  <c r="P1482" i="34"/>
  <c r="X1482" i="34"/>
  <c r="Q1482" i="34"/>
  <c r="O1486" i="34"/>
  <c r="AA1486" i="34"/>
  <c r="P1486" i="34"/>
  <c r="X1486" i="34"/>
  <c r="Q1486" i="34"/>
  <c r="O1490" i="34"/>
  <c r="AA1490" i="34"/>
  <c r="P1490" i="34"/>
  <c r="X1490" i="34"/>
  <c r="Q1490" i="34"/>
  <c r="O1494" i="34"/>
  <c r="AA1494" i="34"/>
  <c r="P1494" i="34"/>
  <c r="X1494" i="34"/>
  <c r="Q1494" i="34"/>
  <c r="O1498" i="34"/>
  <c r="AA1498" i="34"/>
  <c r="P1498" i="34"/>
  <c r="X1498" i="34"/>
  <c r="Q1498" i="34"/>
  <c r="O1502" i="34"/>
  <c r="AA1502" i="34"/>
  <c r="P1502" i="34"/>
  <c r="X1502" i="34"/>
  <c r="Q1502" i="34"/>
  <c r="O1506" i="34"/>
  <c r="AA1506" i="34"/>
  <c r="P1506" i="34"/>
  <c r="X1506" i="34"/>
  <c r="Q1506" i="34"/>
  <c r="O1510" i="34"/>
  <c r="AA1510" i="34"/>
  <c r="P1510" i="34"/>
  <c r="X1510" i="34"/>
  <c r="Q1510" i="34"/>
  <c r="O1514" i="34"/>
  <c r="AA1514" i="34"/>
  <c r="P1514" i="34"/>
  <c r="X1514" i="34"/>
  <c r="Q1514" i="34"/>
  <c r="O1518" i="34"/>
  <c r="AA1518" i="34"/>
  <c r="P1518" i="34"/>
  <c r="X1518" i="34"/>
  <c r="Q1518" i="34"/>
  <c r="O1522" i="34"/>
  <c r="AA1522" i="34"/>
  <c r="P1522" i="34"/>
  <c r="X1522" i="34"/>
  <c r="Q1522" i="34"/>
  <c r="Q1579" i="34"/>
  <c r="O1579" i="34"/>
  <c r="AA1579" i="34"/>
  <c r="P1579" i="34"/>
  <c r="X1579" i="34"/>
  <c r="O1582" i="34"/>
  <c r="AA1582" i="34"/>
  <c r="Q1582" i="34"/>
  <c r="X1638" i="34"/>
  <c r="P1638" i="34"/>
  <c r="X1636" i="34"/>
  <c r="P1636" i="34"/>
  <c r="X1634" i="34"/>
  <c r="P1634" i="34"/>
  <c r="X1632" i="34"/>
  <c r="P1632" i="34"/>
  <c r="X1630" i="34"/>
  <c r="P1630" i="34"/>
  <c r="X1628" i="34"/>
  <c r="P1628" i="34"/>
  <c r="X1626" i="34"/>
  <c r="P1626" i="34"/>
  <c r="X1624" i="34"/>
  <c r="P1624" i="34"/>
  <c r="X1622" i="34"/>
  <c r="P1622" i="34"/>
  <c r="X1620" i="34"/>
  <c r="P1620" i="34"/>
  <c r="X1618" i="34"/>
  <c r="P1618" i="34"/>
  <c r="X1616" i="34"/>
  <c r="P1616" i="34"/>
  <c r="X1614" i="34"/>
  <c r="P1614" i="34"/>
  <c r="X1612" i="34"/>
  <c r="P1612" i="34"/>
  <c r="X1610" i="34"/>
  <c r="P1610" i="34"/>
  <c r="X1608" i="34"/>
  <c r="P1608" i="34"/>
  <c r="X1606" i="34"/>
  <c r="P1606" i="34"/>
  <c r="X1604" i="34"/>
  <c r="P1604" i="34"/>
  <c r="X1602" i="34"/>
  <c r="P1602" i="34"/>
  <c r="X1600" i="34"/>
  <c r="P1600" i="34"/>
  <c r="X1598" i="34"/>
  <c r="P1598" i="34"/>
  <c r="X1596" i="34"/>
  <c r="P1596" i="34"/>
  <c r="X1594" i="34"/>
  <c r="P1594" i="34"/>
  <c r="X1592" i="34"/>
  <c r="P1592" i="34"/>
  <c r="AA1590" i="34"/>
  <c r="O1193" i="34"/>
  <c r="AA1193" i="34"/>
  <c r="P1193" i="34"/>
  <c r="X1193" i="34"/>
  <c r="Q1193" i="34"/>
  <c r="O1201" i="34"/>
  <c r="AA1201" i="34"/>
  <c r="P1201" i="34"/>
  <c r="X1201" i="34"/>
  <c r="Q1201" i="34"/>
  <c r="O1213" i="34"/>
  <c r="AA1213" i="34"/>
  <c r="P1213" i="34"/>
  <c r="X1213" i="34"/>
  <c r="Q1213" i="34"/>
  <c r="O1221" i="34"/>
  <c r="AA1221" i="34"/>
  <c r="P1221" i="34"/>
  <c r="X1221" i="34"/>
  <c r="Q1221" i="34"/>
  <c r="O1225" i="34"/>
  <c r="AA1225" i="34"/>
  <c r="P1225" i="34"/>
  <c r="X1225" i="34"/>
  <c r="Q1225" i="34"/>
  <c r="O1161" i="34"/>
  <c r="AA1161" i="34"/>
  <c r="P1161" i="34"/>
  <c r="X1161" i="34"/>
  <c r="Q1161" i="34"/>
  <c r="O1165" i="34"/>
  <c r="AA1165" i="34"/>
  <c r="P1165" i="34"/>
  <c r="X1165" i="34"/>
  <c r="Q1165" i="34"/>
  <c r="O1169" i="34"/>
  <c r="AA1169" i="34"/>
  <c r="P1169" i="34"/>
  <c r="X1169" i="34"/>
  <c r="Q1169" i="34"/>
  <c r="O1173" i="34"/>
  <c r="AA1173" i="34"/>
  <c r="P1173" i="34"/>
  <c r="X1173" i="34"/>
  <c r="Q1173" i="34"/>
  <c r="O1177" i="34"/>
  <c r="AA1177" i="34"/>
  <c r="P1177" i="34"/>
  <c r="X1177" i="34"/>
  <c r="Q1177" i="34"/>
  <c r="O1181" i="34"/>
  <c r="AA1181" i="34"/>
  <c r="P1181" i="34"/>
  <c r="X1181" i="34"/>
  <c r="Q1181" i="34"/>
  <c r="O1185" i="34"/>
  <c r="AA1185" i="34"/>
  <c r="P1185" i="34"/>
  <c r="X1185" i="34"/>
  <c r="Q1185" i="34"/>
  <c r="O1189" i="34"/>
  <c r="AA1189" i="34"/>
  <c r="P1189" i="34"/>
  <c r="X1189" i="34"/>
  <c r="Q1189" i="34"/>
  <c r="O1125" i="34"/>
  <c r="AA1125" i="34"/>
  <c r="P1125" i="34"/>
  <c r="X1125" i="34"/>
  <c r="Q1125" i="34"/>
  <c r="O1129" i="34"/>
  <c r="AA1129" i="34"/>
  <c r="P1129" i="34"/>
  <c r="X1129" i="34"/>
  <c r="Q1129" i="34"/>
  <c r="O1133" i="34"/>
  <c r="Q1133" i="34"/>
  <c r="P1133" i="34"/>
  <c r="AA1133" i="34"/>
  <c r="X1133" i="34"/>
  <c r="Q1137" i="34"/>
  <c r="AA1137" i="34"/>
  <c r="O1137" i="34"/>
  <c r="X1137" i="34"/>
  <c r="P1137" i="34"/>
  <c r="Q1141" i="34"/>
  <c r="AA1141" i="34"/>
  <c r="O1141" i="34"/>
  <c r="X1141" i="34"/>
  <c r="P1141" i="34"/>
  <c r="O1145" i="34"/>
  <c r="AA1145" i="34"/>
  <c r="P1145" i="34"/>
  <c r="X1145" i="34"/>
  <c r="Q1145" i="34"/>
  <c r="O1149" i="34"/>
  <c r="AA1149" i="34"/>
  <c r="P1149" i="34"/>
  <c r="X1149" i="34"/>
  <c r="Q1149" i="34"/>
  <c r="O1153" i="34"/>
  <c r="AA1153" i="34"/>
  <c r="P1153" i="34"/>
  <c r="X1153" i="34"/>
  <c r="Q1153" i="34"/>
  <c r="O1157" i="34"/>
  <c r="AA1157" i="34"/>
  <c r="P1157" i="34"/>
  <c r="X1157" i="34"/>
  <c r="Q1157" i="34"/>
  <c r="O1093" i="34"/>
  <c r="AA1093" i="34"/>
  <c r="P1093" i="34"/>
  <c r="X1093" i="34"/>
  <c r="Q1093" i="34"/>
  <c r="O1097" i="34"/>
  <c r="AA1097" i="34"/>
  <c r="P1097" i="34"/>
  <c r="X1097" i="34"/>
  <c r="Q1097" i="34"/>
  <c r="O1101" i="34"/>
  <c r="AA1101" i="34"/>
  <c r="P1101" i="34"/>
  <c r="X1101" i="34"/>
  <c r="Q1101" i="34"/>
  <c r="O1105" i="34"/>
  <c r="AA1105" i="34"/>
  <c r="P1105" i="34"/>
  <c r="X1105" i="34"/>
  <c r="Q1105" i="34"/>
  <c r="O1109" i="34"/>
  <c r="AA1109" i="34"/>
  <c r="P1109" i="34"/>
  <c r="X1109" i="34"/>
  <c r="Q1109" i="34"/>
  <c r="O1113" i="34"/>
  <c r="AA1113" i="34"/>
  <c r="P1113" i="34"/>
  <c r="X1113" i="34"/>
  <c r="Q1113" i="34"/>
  <c r="O1117" i="34"/>
  <c r="AA1117" i="34"/>
  <c r="P1117" i="34"/>
  <c r="X1117" i="34"/>
  <c r="Q1117" i="34"/>
  <c r="O1121" i="34"/>
  <c r="AA1121" i="34"/>
  <c r="P1121" i="34"/>
  <c r="X1121" i="34"/>
  <c r="Q1121" i="34"/>
  <c r="O1057" i="34"/>
  <c r="AA1057" i="34"/>
  <c r="P1057" i="34"/>
  <c r="X1057" i="34"/>
  <c r="Q1057" i="34"/>
  <c r="O1061" i="34"/>
  <c r="AA1061" i="34"/>
  <c r="P1061" i="34"/>
  <c r="X1061" i="34"/>
  <c r="Q1061" i="34"/>
  <c r="O1065" i="34"/>
  <c r="AA1065" i="34"/>
  <c r="P1065" i="34"/>
  <c r="X1065" i="34"/>
  <c r="Q1065" i="34"/>
  <c r="O1069" i="34"/>
  <c r="AA1069" i="34"/>
  <c r="P1069" i="34"/>
  <c r="X1069" i="34"/>
  <c r="Q1069" i="34"/>
  <c r="O1073" i="34"/>
  <c r="AA1073" i="34"/>
  <c r="P1073" i="34"/>
  <c r="X1073" i="34"/>
  <c r="Q1073" i="34"/>
  <c r="O1077" i="34"/>
  <c r="AA1077" i="34"/>
  <c r="P1077" i="34"/>
  <c r="X1077" i="34"/>
  <c r="Q1077" i="34"/>
  <c r="O1081" i="34"/>
  <c r="AA1081" i="34"/>
  <c r="P1081" i="34"/>
  <c r="X1081" i="34"/>
  <c r="Q1081" i="34"/>
  <c r="O1085" i="34"/>
  <c r="AA1085" i="34"/>
  <c r="P1085" i="34"/>
  <c r="X1085" i="34"/>
  <c r="Q1085" i="34"/>
  <c r="O1089" i="34"/>
  <c r="AA1089" i="34"/>
  <c r="P1089" i="34"/>
  <c r="X1089" i="34"/>
  <c r="Q1089" i="34"/>
  <c r="O1025" i="34"/>
  <c r="AA1025" i="34"/>
  <c r="P1025" i="34"/>
  <c r="X1025" i="34"/>
  <c r="Q1025" i="34"/>
  <c r="O1029" i="34"/>
  <c r="AA1029" i="34"/>
  <c r="P1029" i="34"/>
  <c r="X1029" i="34"/>
  <c r="Q1029" i="34"/>
  <c r="O1033" i="34"/>
  <c r="AA1033" i="34"/>
  <c r="P1033" i="34"/>
  <c r="X1033" i="34"/>
  <c r="Q1033" i="34"/>
  <c r="O1037" i="34"/>
  <c r="AA1037" i="34"/>
  <c r="P1037" i="34"/>
  <c r="X1037" i="34"/>
  <c r="Q1037" i="34"/>
  <c r="O1041" i="34"/>
  <c r="AA1041" i="34"/>
  <c r="P1041" i="34"/>
  <c r="X1041" i="34"/>
  <c r="Q1041" i="34"/>
  <c r="O1045" i="34"/>
  <c r="AA1045" i="34"/>
  <c r="P1045" i="34"/>
  <c r="X1045" i="34"/>
  <c r="Q1045" i="34"/>
  <c r="O1049" i="34"/>
  <c r="AA1049" i="34"/>
  <c r="P1049" i="34"/>
  <c r="X1049" i="34"/>
  <c r="Q1049" i="34"/>
  <c r="O1053" i="34"/>
  <c r="AA1053" i="34"/>
  <c r="P1053" i="34"/>
  <c r="X1053" i="34"/>
  <c r="Q1053" i="34"/>
  <c r="O993" i="34"/>
  <c r="AA993" i="34"/>
  <c r="P993" i="34"/>
  <c r="X993" i="34"/>
  <c r="Q993" i="34"/>
  <c r="O997" i="34"/>
  <c r="AA997" i="34"/>
  <c r="P997" i="34"/>
  <c r="X997" i="34"/>
  <c r="Q997" i="34"/>
  <c r="O1001" i="34"/>
  <c r="AA1001" i="34"/>
  <c r="P1001" i="34"/>
  <c r="X1001" i="34"/>
  <c r="Q1001" i="34"/>
  <c r="O1005" i="34"/>
  <c r="AA1005" i="34"/>
  <c r="P1005" i="34"/>
  <c r="X1005" i="34"/>
  <c r="Q1005" i="34"/>
  <c r="O1009" i="34"/>
  <c r="AA1009" i="34"/>
  <c r="P1009" i="34"/>
  <c r="X1009" i="34"/>
  <c r="Q1009" i="34"/>
  <c r="O1013" i="34"/>
  <c r="AA1013" i="34"/>
  <c r="P1013" i="34"/>
  <c r="X1013" i="34"/>
  <c r="Q1013" i="34"/>
  <c r="O1017" i="34"/>
  <c r="AA1017" i="34"/>
  <c r="P1017" i="34"/>
  <c r="X1017" i="34"/>
  <c r="Q1017" i="34"/>
  <c r="O1021" i="34"/>
  <c r="AA1021" i="34"/>
  <c r="P1021" i="34"/>
  <c r="X1021" i="34"/>
  <c r="Q1021" i="34"/>
  <c r="O961" i="34"/>
  <c r="AA961" i="34"/>
  <c r="P961" i="34"/>
  <c r="X961" i="34"/>
  <c r="Q961" i="34"/>
  <c r="O965" i="34"/>
  <c r="AA965" i="34"/>
  <c r="P965" i="34"/>
  <c r="X965" i="34"/>
  <c r="Q965" i="34"/>
  <c r="O969" i="34"/>
  <c r="AA969" i="34"/>
  <c r="P969" i="34"/>
  <c r="X969" i="34"/>
  <c r="Q969" i="34"/>
  <c r="O973" i="34"/>
  <c r="AA973" i="34"/>
  <c r="P973" i="34"/>
  <c r="X973" i="34"/>
  <c r="Q973" i="34"/>
  <c r="O977" i="34"/>
  <c r="AA977" i="34"/>
  <c r="P977" i="34"/>
  <c r="X977" i="34"/>
  <c r="Q977" i="34"/>
  <c r="O981" i="34"/>
  <c r="AA981" i="34"/>
  <c r="P981" i="34"/>
  <c r="X981" i="34"/>
  <c r="Q981" i="34"/>
  <c r="O985" i="34"/>
  <c r="AA985" i="34"/>
  <c r="P985" i="34"/>
  <c r="X985" i="34"/>
  <c r="Q985" i="34"/>
  <c r="O989" i="34"/>
  <c r="AA989" i="34"/>
  <c r="P989" i="34"/>
  <c r="X989" i="34"/>
  <c r="Q989" i="34"/>
  <c r="O1295" i="34"/>
  <c r="AA1295" i="34"/>
  <c r="P1295" i="34"/>
  <c r="X1295" i="34"/>
  <c r="Q1295" i="34"/>
  <c r="O1299" i="34"/>
  <c r="AA1299" i="34"/>
  <c r="P1299" i="34"/>
  <c r="X1299" i="34"/>
  <c r="Q1299" i="34"/>
  <c r="O1303" i="34"/>
  <c r="AA1303" i="34"/>
  <c r="P1303" i="34"/>
  <c r="X1303" i="34"/>
  <c r="Q1303" i="34"/>
  <c r="O1307" i="34"/>
  <c r="AA1307" i="34"/>
  <c r="P1307" i="34"/>
  <c r="X1307" i="34"/>
  <c r="Q1307" i="34"/>
  <c r="O1311" i="34"/>
  <c r="AA1311" i="34"/>
  <c r="P1311" i="34"/>
  <c r="X1311" i="34"/>
  <c r="Q1311" i="34"/>
  <c r="O1315" i="34"/>
  <c r="AA1315" i="34"/>
  <c r="P1315" i="34"/>
  <c r="X1315" i="34"/>
  <c r="Q1315" i="34"/>
  <c r="O1319" i="34"/>
  <c r="AA1319" i="34"/>
  <c r="P1319" i="34"/>
  <c r="X1319" i="34"/>
  <c r="Q1319" i="34"/>
  <c r="O1323" i="34"/>
  <c r="AA1323" i="34"/>
  <c r="P1323" i="34"/>
  <c r="X1323" i="34"/>
  <c r="Q1323" i="34"/>
  <c r="O1327" i="34"/>
  <c r="AA1327" i="34"/>
  <c r="P1327" i="34"/>
  <c r="X1327" i="34"/>
  <c r="Q1327" i="34"/>
  <c r="O1331" i="34"/>
  <c r="AA1331" i="34"/>
  <c r="P1331" i="34"/>
  <c r="X1331" i="34"/>
  <c r="Q1331" i="34"/>
  <c r="O1335" i="34"/>
  <c r="AA1335" i="34"/>
  <c r="P1335" i="34"/>
  <c r="X1335" i="34"/>
  <c r="Q1335" i="34"/>
  <c r="O1339" i="34"/>
  <c r="AA1339" i="34"/>
  <c r="P1339" i="34"/>
  <c r="X1339" i="34"/>
  <c r="Q1339" i="34"/>
  <c r="O1343" i="34"/>
  <c r="AA1343" i="34"/>
  <c r="P1343" i="34"/>
  <c r="X1343" i="34"/>
  <c r="Q1343" i="34"/>
  <c r="O1347" i="34"/>
  <c r="AA1347" i="34"/>
  <c r="P1347" i="34"/>
  <c r="X1347" i="34"/>
  <c r="Q1347" i="34"/>
  <c r="O1351" i="34"/>
  <c r="AA1351" i="34"/>
  <c r="Q1351" i="34"/>
  <c r="X1351" i="34"/>
  <c r="P1351" i="34"/>
  <c r="O1355" i="34"/>
  <c r="AA1355" i="34"/>
  <c r="Q1355" i="34"/>
  <c r="X1355" i="34"/>
  <c r="P1355" i="34"/>
  <c r="Q1359" i="34"/>
  <c r="AA1359" i="34"/>
  <c r="O1359" i="34"/>
  <c r="X1359" i="34"/>
  <c r="P1359" i="34"/>
  <c r="Q1363" i="34"/>
  <c r="O1363" i="34"/>
  <c r="X1363" i="34"/>
  <c r="P1363" i="34"/>
  <c r="AA1363" i="34"/>
  <c r="Q1367" i="34"/>
  <c r="O1367" i="34"/>
  <c r="AA1367" i="34"/>
  <c r="P1367" i="34"/>
  <c r="X1367" i="34"/>
  <c r="Q1371" i="34"/>
  <c r="O1371" i="34"/>
  <c r="AA1371" i="34"/>
  <c r="P1371" i="34"/>
  <c r="X1371" i="34"/>
  <c r="Q1375" i="34"/>
  <c r="O1375" i="34"/>
  <c r="AA1375" i="34"/>
  <c r="P1375" i="34"/>
  <c r="X1375" i="34"/>
  <c r="Q1379" i="34"/>
  <c r="O1379" i="34"/>
  <c r="AA1379" i="34"/>
  <c r="P1379" i="34"/>
  <c r="X1379" i="34"/>
  <c r="Q1383" i="34"/>
  <c r="O1383" i="34"/>
  <c r="AA1383" i="34"/>
  <c r="P1383" i="34"/>
  <c r="X1383" i="34"/>
  <c r="Q1387" i="34"/>
  <c r="O1387" i="34"/>
  <c r="AA1387" i="34"/>
  <c r="P1387" i="34"/>
  <c r="X1387" i="34"/>
  <c r="Q1391" i="34"/>
  <c r="O1391" i="34"/>
  <c r="AA1391" i="34"/>
  <c r="P1391" i="34"/>
  <c r="X1391" i="34"/>
  <c r="Q1395" i="34"/>
  <c r="O1395" i="34"/>
  <c r="AA1395" i="34"/>
  <c r="P1395" i="34"/>
  <c r="X1395" i="34"/>
  <c r="Q1399" i="34"/>
  <c r="O1399" i="34"/>
  <c r="AA1399" i="34"/>
  <c r="P1399" i="34"/>
  <c r="X1399" i="34"/>
  <c r="Q1403" i="34"/>
  <c r="O1403" i="34"/>
  <c r="AA1403" i="34"/>
  <c r="P1403" i="34"/>
  <c r="X1403" i="34"/>
  <c r="Q1407" i="34"/>
  <c r="O1407" i="34"/>
  <c r="AA1407" i="34"/>
  <c r="P1407" i="34"/>
  <c r="X1407" i="34"/>
  <c r="Q1411" i="34"/>
  <c r="O1411" i="34"/>
  <c r="AA1411" i="34"/>
  <c r="P1411" i="34"/>
  <c r="X1411" i="34"/>
  <c r="Q1415" i="34"/>
  <c r="O1415" i="34"/>
  <c r="AA1415" i="34"/>
  <c r="P1415" i="34"/>
  <c r="X1415" i="34"/>
  <c r="Q1419" i="34"/>
  <c r="O1419" i="34"/>
  <c r="AA1419" i="34"/>
  <c r="P1419" i="34"/>
  <c r="X1419" i="34"/>
  <c r="Q1423" i="34"/>
  <c r="O1423" i="34"/>
  <c r="AA1423" i="34"/>
  <c r="P1423" i="34"/>
  <c r="X1423" i="34"/>
  <c r="Q1427" i="34"/>
  <c r="O1427" i="34"/>
  <c r="AA1427" i="34"/>
  <c r="P1427" i="34"/>
  <c r="X1427" i="34"/>
  <c r="Q1431" i="34"/>
  <c r="O1431" i="34"/>
  <c r="AA1431" i="34"/>
  <c r="P1431" i="34"/>
  <c r="X1431" i="34"/>
  <c r="Q1435" i="34"/>
  <c r="O1435" i="34"/>
  <c r="AA1435" i="34"/>
  <c r="P1435" i="34"/>
  <c r="X1435" i="34"/>
  <c r="Q1439" i="34"/>
  <c r="O1439" i="34"/>
  <c r="AA1439" i="34"/>
  <c r="P1439" i="34"/>
  <c r="X1439" i="34"/>
  <c r="Q1443" i="34"/>
  <c r="O1443" i="34"/>
  <c r="AA1443" i="34"/>
  <c r="P1443" i="34"/>
  <c r="X1443" i="34"/>
  <c r="Q1447" i="34"/>
  <c r="O1447" i="34"/>
  <c r="AA1447" i="34"/>
  <c r="P1447" i="34"/>
  <c r="X1447" i="34"/>
  <c r="Q1451" i="34"/>
  <c r="O1451" i="34"/>
  <c r="AA1451" i="34"/>
  <c r="P1451" i="34"/>
  <c r="X1451" i="34"/>
  <c r="Q1455" i="34"/>
  <c r="O1455" i="34"/>
  <c r="AA1455" i="34"/>
  <c r="P1455" i="34"/>
  <c r="X1455" i="34"/>
  <c r="Q1459" i="34"/>
  <c r="O1459" i="34"/>
  <c r="AA1459" i="34"/>
  <c r="P1459" i="34"/>
  <c r="X1459" i="34"/>
  <c r="Q1463" i="34"/>
  <c r="O1463" i="34"/>
  <c r="AA1463" i="34"/>
  <c r="P1463" i="34"/>
  <c r="X1463" i="34"/>
  <c r="Q1467" i="34"/>
  <c r="O1467" i="34"/>
  <c r="AA1467" i="34"/>
  <c r="P1467" i="34"/>
  <c r="X1467" i="34"/>
  <c r="Q1471" i="34"/>
  <c r="O1471" i="34"/>
  <c r="AA1471" i="34"/>
  <c r="P1471" i="34"/>
  <c r="X1471" i="34"/>
  <c r="Q1475" i="34"/>
  <c r="O1475" i="34"/>
  <c r="AA1475" i="34"/>
  <c r="P1475" i="34"/>
  <c r="X1475" i="34"/>
  <c r="Q1479" i="34"/>
  <c r="O1479" i="34"/>
  <c r="AA1479" i="34"/>
  <c r="P1479" i="34"/>
  <c r="X1479" i="34"/>
  <c r="Q1483" i="34"/>
  <c r="O1483" i="34"/>
  <c r="AA1483" i="34"/>
  <c r="P1483" i="34"/>
  <c r="X1483" i="34"/>
  <c r="Q1487" i="34"/>
  <c r="O1487" i="34"/>
  <c r="AA1487" i="34"/>
  <c r="P1487" i="34"/>
  <c r="X1487" i="34"/>
  <c r="Q1491" i="34"/>
  <c r="O1491" i="34"/>
  <c r="AA1491" i="34"/>
  <c r="P1491" i="34"/>
  <c r="X1491" i="34"/>
  <c r="Q1495" i="34"/>
  <c r="O1495" i="34"/>
  <c r="AA1495" i="34"/>
  <c r="P1495" i="34"/>
  <c r="X1495" i="34"/>
  <c r="Q1499" i="34"/>
  <c r="O1499" i="34"/>
  <c r="AA1499" i="34"/>
  <c r="P1499" i="34"/>
  <c r="X1499" i="34"/>
  <c r="Q1503" i="34"/>
  <c r="O1503" i="34"/>
  <c r="AA1503" i="34"/>
  <c r="P1503" i="34"/>
  <c r="X1503" i="34"/>
  <c r="Q1507" i="34"/>
  <c r="O1507" i="34"/>
  <c r="AA1507" i="34"/>
  <c r="P1507" i="34"/>
  <c r="X1507" i="34"/>
  <c r="Q1511" i="34"/>
  <c r="O1511" i="34"/>
  <c r="AA1511" i="34"/>
  <c r="P1511" i="34"/>
  <c r="X1511" i="34"/>
  <c r="Q1515" i="34"/>
  <c r="O1515" i="34"/>
  <c r="AA1515" i="34"/>
  <c r="P1515" i="34"/>
  <c r="X1515" i="34"/>
  <c r="Q1519" i="34"/>
  <c r="O1519" i="34"/>
  <c r="AA1519" i="34"/>
  <c r="P1519" i="34"/>
  <c r="X1519" i="34"/>
  <c r="Q1523" i="34"/>
  <c r="O1523" i="34"/>
  <c r="AA1523" i="34"/>
  <c r="P1523" i="34"/>
  <c r="X1523" i="34"/>
  <c r="Q1525" i="34"/>
  <c r="O1525" i="34"/>
  <c r="AA1525" i="34"/>
  <c r="P1525" i="34"/>
  <c r="X1525" i="34"/>
  <c r="Q1527" i="34"/>
  <c r="O1527" i="34"/>
  <c r="AA1527" i="34"/>
  <c r="P1527" i="34"/>
  <c r="X1527" i="34"/>
  <c r="Q1529" i="34"/>
  <c r="O1529" i="34"/>
  <c r="AA1529" i="34"/>
  <c r="P1529" i="34"/>
  <c r="X1529" i="34"/>
  <c r="Q1531" i="34"/>
  <c r="O1531" i="34"/>
  <c r="AA1531" i="34"/>
  <c r="P1531" i="34"/>
  <c r="X1531" i="34"/>
  <c r="Q1533" i="34"/>
  <c r="O1533" i="34"/>
  <c r="AA1533" i="34"/>
  <c r="P1533" i="34"/>
  <c r="X1533" i="34"/>
  <c r="Q1535" i="34"/>
  <c r="O1535" i="34"/>
  <c r="AA1535" i="34"/>
  <c r="P1535" i="34"/>
  <c r="X1535" i="34"/>
  <c r="Q1537" i="34"/>
  <c r="O1537" i="34"/>
  <c r="AA1537" i="34"/>
  <c r="P1537" i="34"/>
  <c r="X1537" i="34"/>
  <c r="Q1539" i="34"/>
  <c r="O1539" i="34"/>
  <c r="AA1539" i="34"/>
  <c r="P1539" i="34"/>
  <c r="X1539" i="34"/>
  <c r="Q1541" i="34"/>
  <c r="O1541" i="34"/>
  <c r="AA1541" i="34"/>
  <c r="P1541" i="34"/>
  <c r="X1541" i="34"/>
  <c r="Q1543" i="34"/>
  <c r="O1543" i="34"/>
  <c r="AA1543" i="34"/>
  <c r="P1543" i="34"/>
  <c r="X1543" i="34"/>
  <c r="Q1545" i="34"/>
  <c r="O1545" i="34"/>
  <c r="AA1545" i="34"/>
  <c r="P1545" i="34"/>
  <c r="X1545" i="34"/>
  <c r="Q1547" i="34"/>
  <c r="O1547" i="34"/>
  <c r="AA1547" i="34"/>
  <c r="P1547" i="34"/>
  <c r="X1547" i="34"/>
  <c r="Q1549" i="34"/>
  <c r="O1549" i="34"/>
  <c r="AA1549" i="34"/>
  <c r="P1549" i="34"/>
  <c r="X1549" i="34"/>
  <c r="Q1551" i="34"/>
  <c r="O1551" i="34"/>
  <c r="AA1551" i="34"/>
  <c r="P1551" i="34"/>
  <c r="X1551" i="34"/>
  <c r="Q1553" i="34"/>
  <c r="O1553" i="34"/>
  <c r="AA1553" i="34"/>
  <c r="P1553" i="34"/>
  <c r="X1553" i="34"/>
  <c r="Q1555" i="34"/>
  <c r="O1555" i="34"/>
  <c r="AA1555" i="34"/>
  <c r="P1555" i="34"/>
  <c r="X1555" i="34"/>
  <c r="Q1557" i="34"/>
  <c r="O1557" i="34"/>
  <c r="AA1557" i="34"/>
  <c r="P1557" i="34"/>
  <c r="X1557" i="34"/>
  <c r="Q1559" i="34"/>
  <c r="O1559" i="34"/>
  <c r="AA1559" i="34"/>
  <c r="P1559" i="34"/>
  <c r="X1559" i="34"/>
  <c r="Q1561" i="34"/>
  <c r="O1561" i="34"/>
  <c r="AA1561" i="34"/>
  <c r="P1561" i="34"/>
  <c r="X1561" i="34"/>
  <c r="Q1563" i="34"/>
  <c r="O1563" i="34"/>
  <c r="AA1563" i="34"/>
  <c r="P1563" i="34"/>
  <c r="X1563" i="34"/>
  <c r="Q1565" i="34"/>
  <c r="O1565" i="34"/>
  <c r="AA1565" i="34"/>
  <c r="P1565" i="34"/>
  <c r="X1565" i="34"/>
  <c r="Q1567" i="34"/>
  <c r="O1567" i="34"/>
  <c r="AA1567" i="34"/>
  <c r="P1567" i="34"/>
  <c r="X1567" i="34"/>
  <c r="Q1569" i="34"/>
  <c r="O1569" i="34"/>
  <c r="AA1569" i="34"/>
  <c r="P1569" i="34"/>
  <c r="X1569" i="34"/>
  <c r="Q1571" i="34"/>
  <c r="O1571" i="34"/>
  <c r="AA1571" i="34"/>
  <c r="P1571" i="34"/>
  <c r="X1571" i="34"/>
  <c r="Q1573" i="34"/>
  <c r="O1573" i="34"/>
  <c r="AA1573" i="34"/>
  <c r="P1573" i="34"/>
  <c r="X1573" i="34"/>
  <c r="Q1575" i="34"/>
  <c r="O1575" i="34"/>
  <c r="AA1575" i="34"/>
  <c r="P1575" i="34"/>
  <c r="X1575" i="34"/>
  <c r="Q1577" i="34"/>
  <c r="O1577" i="34"/>
  <c r="AA1577" i="34"/>
  <c r="P1577" i="34"/>
  <c r="X1577" i="34"/>
  <c r="O1580" i="34"/>
  <c r="AA1580" i="34"/>
  <c r="P1580" i="34"/>
  <c r="X1580" i="34"/>
  <c r="Q1580" i="34"/>
  <c r="Q1585" i="34"/>
  <c r="O1585" i="34"/>
  <c r="AA1585" i="34"/>
  <c r="P1585" i="34"/>
  <c r="X1585" i="34"/>
  <c r="O1589" i="34"/>
  <c r="AA1589" i="34"/>
  <c r="P1589" i="34"/>
  <c r="X1589" i="34"/>
  <c r="A1486" i="34"/>
  <c r="A1482" i="34"/>
  <c r="A1478" i="34"/>
  <c r="A1474" i="34"/>
  <c r="A1470" i="34"/>
  <c r="A1466" i="34"/>
  <c r="A1462" i="34"/>
  <c r="A1458" i="34"/>
  <c r="A1454" i="34"/>
  <c r="A1450" i="34"/>
  <c r="A1446" i="34"/>
  <c r="A1442" i="34"/>
  <c r="A1438" i="34"/>
  <c r="A1434" i="34"/>
  <c r="A1430" i="34"/>
  <c r="A1426" i="34"/>
  <c r="A1422" i="34"/>
  <c r="A1418" i="34"/>
  <c r="A1414" i="34"/>
  <c r="A1410" i="34"/>
  <c r="A1406" i="34"/>
  <c r="A1402" i="34"/>
  <c r="A1398" i="34"/>
  <c r="A1394" i="34"/>
  <c r="A1390" i="34"/>
  <c r="A1386" i="34"/>
  <c r="A1382" i="34"/>
  <c r="A1378" i="34"/>
  <c r="A1374" i="34"/>
  <c r="A1370" i="34"/>
  <c r="A1366" i="34"/>
  <c r="A1362" i="34"/>
  <c r="A1358" i="34"/>
  <c r="A1354" i="34"/>
  <c r="A1350" i="34"/>
  <c r="A1346" i="34"/>
  <c r="A1342" i="34"/>
  <c r="A1338" i="34"/>
  <c r="A1334" i="34"/>
  <c r="A1330" i="34"/>
  <c r="A1326" i="34"/>
  <c r="A1322" i="34"/>
  <c r="A1318" i="34"/>
  <c r="A1314" i="34"/>
  <c r="A1310" i="34"/>
  <c r="A1306" i="34"/>
  <c r="A1302" i="34"/>
  <c r="A1298" i="34"/>
  <c r="A1294" i="34"/>
  <c r="AA1638" i="34"/>
  <c r="O1638" i="34"/>
  <c r="Q1637" i="34"/>
  <c r="AA1636" i="34"/>
  <c r="O1636" i="34"/>
  <c r="Q1635" i="34"/>
  <c r="AA1634" i="34"/>
  <c r="O1634" i="34"/>
  <c r="Q1633" i="34"/>
  <c r="AA1632" i="34"/>
  <c r="O1632" i="34"/>
  <c r="Q1631" i="34"/>
  <c r="AA1630" i="34"/>
  <c r="O1630" i="34"/>
  <c r="Q1629" i="34"/>
  <c r="AA1628" i="34"/>
  <c r="O1628" i="34"/>
  <c r="Q1627" i="34"/>
  <c r="AA1626" i="34"/>
  <c r="O1626" i="34"/>
  <c r="Q1625" i="34"/>
  <c r="AA1624" i="34"/>
  <c r="O1624" i="34"/>
  <c r="Q1623" i="34"/>
  <c r="AA1622" i="34"/>
  <c r="O1622" i="34"/>
  <c r="Q1621" i="34"/>
  <c r="AA1620" i="34"/>
  <c r="O1620" i="34"/>
  <c r="Q1619" i="34"/>
  <c r="AA1618" i="34"/>
  <c r="O1618" i="34"/>
  <c r="Q1617" i="34"/>
  <c r="AA1616" i="34"/>
  <c r="O1616" i="34"/>
  <c r="Q1615" i="34"/>
  <c r="AA1614" i="34"/>
  <c r="O1614" i="34"/>
  <c r="Q1613" i="34"/>
  <c r="AA1612" i="34"/>
  <c r="O1612" i="34"/>
  <c r="Q1611" i="34"/>
  <c r="AA1610" i="34"/>
  <c r="O1610" i="34"/>
  <c r="Q1609" i="34"/>
  <c r="AA1608" i="34"/>
  <c r="O1608" i="34"/>
  <c r="Q1607" i="34"/>
  <c r="AA1606" i="34"/>
  <c r="O1606" i="34"/>
  <c r="Q1605" i="34"/>
  <c r="AA1604" i="34"/>
  <c r="O1604" i="34"/>
  <c r="Q1603" i="34"/>
  <c r="AA1602" i="34"/>
  <c r="O1602" i="34"/>
  <c r="Q1601" i="34"/>
  <c r="AA1600" i="34"/>
  <c r="O1600" i="34"/>
  <c r="Q1599" i="34"/>
  <c r="AA1598" i="34"/>
  <c r="O1598" i="34"/>
  <c r="Q1597" i="34"/>
  <c r="AA1596" i="34"/>
  <c r="O1596" i="34"/>
  <c r="Q1595" i="34"/>
  <c r="AA1594" i="34"/>
  <c r="O1594" i="34"/>
  <c r="Q1593" i="34"/>
  <c r="AA1592" i="34"/>
  <c r="O1592" i="34"/>
  <c r="Q1591" i="34"/>
  <c r="Q1589" i="34"/>
  <c r="P1588" i="34"/>
  <c r="O1257" i="34"/>
  <c r="AA1257" i="34"/>
  <c r="P1257" i="34"/>
  <c r="X1257" i="34"/>
  <c r="Q1257" i="34"/>
  <c r="O1197" i="34"/>
  <c r="AA1197" i="34"/>
  <c r="P1197" i="34"/>
  <c r="X1197" i="34"/>
  <c r="Q1197" i="34"/>
  <c r="O1209" i="34"/>
  <c r="AA1209" i="34"/>
  <c r="P1209" i="34"/>
  <c r="X1209" i="34"/>
  <c r="Q1209" i="34"/>
  <c r="Q1226" i="34"/>
  <c r="O1226" i="34"/>
  <c r="AA1226" i="34"/>
  <c r="P1226" i="34"/>
  <c r="X1226" i="34"/>
  <c r="Q1238" i="34"/>
  <c r="O1238" i="34"/>
  <c r="AA1238" i="34"/>
  <c r="P1238" i="34"/>
  <c r="X1238" i="34"/>
  <c r="Q1246" i="34"/>
  <c r="O1246" i="34"/>
  <c r="AA1246" i="34"/>
  <c r="P1246" i="34"/>
  <c r="X1246" i="34"/>
  <c r="Q1254" i="34"/>
  <c r="O1254" i="34"/>
  <c r="AA1254" i="34"/>
  <c r="P1254" i="34"/>
  <c r="X1254" i="34"/>
  <c r="Q1194" i="34"/>
  <c r="O1194" i="34"/>
  <c r="AA1194" i="34"/>
  <c r="P1194" i="34"/>
  <c r="X1194" i="34"/>
  <c r="Q1206" i="34"/>
  <c r="O1206" i="34"/>
  <c r="AA1206" i="34"/>
  <c r="P1206" i="34"/>
  <c r="X1206" i="34"/>
  <c r="Q1214" i="34"/>
  <c r="O1214" i="34"/>
  <c r="AA1214" i="34"/>
  <c r="P1214" i="34"/>
  <c r="X1214" i="34"/>
  <c r="Q1222" i="34"/>
  <c r="O1222" i="34"/>
  <c r="AA1222" i="34"/>
  <c r="P1222" i="34"/>
  <c r="X1222" i="34"/>
  <c r="Q1166" i="34"/>
  <c r="O1166" i="34"/>
  <c r="AA1166" i="34"/>
  <c r="P1166" i="34"/>
  <c r="X1166" i="34"/>
  <c r="Q1174" i="34"/>
  <c r="O1174" i="34"/>
  <c r="AA1174" i="34"/>
  <c r="P1174" i="34"/>
  <c r="X1174" i="34"/>
  <c r="Q1186" i="34"/>
  <c r="O1186" i="34"/>
  <c r="AA1186" i="34"/>
  <c r="P1186" i="34"/>
  <c r="X1186" i="34"/>
  <c r="P1126" i="34"/>
  <c r="X1126" i="34"/>
  <c r="Q1126" i="34"/>
  <c r="O1126" i="34"/>
  <c r="AA1126" i="34"/>
  <c r="P1134" i="34"/>
  <c r="X1134" i="34"/>
  <c r="O1134" i="34"/>
  <c r="AA1134" i="34"/>
  <c r="Q1134" i="34"/>
  <c r="Q1142" i="34"/>
  <c r="O1142" i="34"/>
  <c r="AA1142" i="34"/>
  <c r="P1142" i="34"/>
  <c r="X1142" i="34"/>
  <c r="Q1150" i="34"/>
  <c r="O1150" i="34"/>
  <c r="AA1150" i="34"/>
  <c r="P1150" i="34"/>
  <c r="X1150" i="34"/>
  <c r="P1090" i="34"/>
  <c r="X1090" i="34"/>
  <c r="Q1090" i="34"/>
  <c r="O1090" i="34"/>
  <c r="AA1090" i="34"/>
  <c r="P1098" i="34"/>
  <c r="X1098" i="34"/>
  <c r="Q1098" i="34"/>
  <c r="O1098" i="34"/>
  <c r="AA1098" i="34"/>
  <c r="P1110" i="34"/>
  <c r="X1110" i="34"/>
  <c r="Q1110" i="34"/>
  <c r="O1110" i="34"/>
  <c r="AA1110" i="34"/>
  <c r="P1118" i="34"/>
  <c r="X1118" i="34"/>
  <c r="Q1118" i="34"/>
  <c r="O1118" i="34"/>
  <c r="AA1118" i="34"/>
  <c r="P1058" i="34"/>
  <c r="X1058" i="34"/>
  <c r="Q1058" i="34"/>
  <c r="O1058" i="34"/>
  <c r="AA1058" i="34"/>
  <c r="P1070" i="34"/>
  <c r="X1070" i="34"/>
  <c r="Q1070" i="34"/>
  <c r="O1070" i="34"/>
  <c r="AA1070" i="34"/>
  <c r="P1078" i="34"/>
  <c r="X1078" i="34"/>
  <c r="Q1078" i="34"/>
  <c r="O1078" i="34"/>
  <c r="AA1078" i="34"/>
  <c r="P1086" i="34"/>
  <c r="X1086" i="34"/>
  <c r="Q1086" i="34"/>
  <c r="O1086" i="34"/>
  <c r="AA1086" i="34"/>
  <c r="P1026" i="34"/>
  <c r="X1026" i="34"/>
  <c r="Q1026" i="34"/>
  <c r="O1026" i="34"/>
  <c r="AA1026" i="34"/>
  <c r="P1034" i="34"/>
  <c r="X1034" i="34"/>
  <c r="Q1034" i="34"/>
  <c r="O1034" i="34"/>
  <c r="AA1034" i="34"/>
  <c r="P1042" i="34"/>
  <c r="X1042" i="34"/>
  <c r="Q1042" i="34"/>
  <c r="O1042" i="34"/>
  <c r="AA1042" i="34"/>
  <c r="P1050" i="34"/>
  <c r="X1050" i="34"/>
  <c r="Q1050" i="34"/>
  <c r="O1050" i="34"/>
  <c r="AA1050" i="34"/>
  <c r="P994" i="34"/>
  <c r="X994" i="34"/>
  <c r="Q994" i="34"/>
  <c r="O994" i="34"/>
  <c r="AA994" i="34"/>
  <c r="P1002" i="34"/>
  <c r="X1002" i="34"/>
  <c r="Q1002" i="34"/>
  <c r="O1002" i="34"/>
  <c r="AA1002" i="34"/>
  <c r="P1018" i="34"/>
  <c r="X1018" i="34"/>
  <c r="Q1018" i="34"/>
  <c r="O1018" i="34"/>
  <c r="AA1018" i="34"/>
  <c r="P962" i="34"/>
  <c r="X962" i="34"/>
  <c r="Q962" i="34"/>
  <c r="O962" i="34"/>
  <c r="AA962" i="34"/>
  <c r="P970" i="34"/>
  <c r="X970" i="34"/>
  <c r="Q970" i="34"/>
  <c r="O970" i="34"/>
  <c r="AA970" i="34"/>
  <c r="P974" i="34"/>
  <c r="X974" i="34"/>
  <c r="Q974" i="34"/>
  <c r="O974" i="34"/>
  <c r="AA974" i="34"/>
  <c r="P978" i="34"/>
  <c r="X978" i="34"/>
  <c r="Q978" i="34"/>
  <c r="O978" i="34"/>
  <c r="AA978" i="34"/>
  <c r="P982" i="34"/>
  <c r="X982" i="34"/>
  <c r="Q982" i="34"/>
  <c r="O982" i="34"/>
  <c r="AA982" i="34"/>
  <c r="P986" i="34"/>
  <c r="X986" i="34"/>
  <c r="Q986" i="34"/>
  <c r="O986" i="34"/>
  <c r="AA986" i="34"/>
  <c r="Q1296" i="34"/>
  <c r="O1296" i="34"/>
  <c r="AA1296" i="34"/>
  <c r="P1296" i="34"/>
  <c r="X1296" i="34"/>
  <c r="Q1300" i="34"/>
  <c r="O1300" i="34"/>
  <c r="AA1300" i="34"/>
  <c r="P1300" i="34"/>
  <c r="X1300" i="34"/>
  <c r="Q1304" i="34"/>
  <c r="O1304" i="34"/>
  <c r="AA1304" i="34"/>
  <c r="P1304" i="34"/>
  <c r="X1304" i="34"/>
  <c r="Q1308" i="34"/>
  <c r="O1308" i="34"/>
  <c r="AA1308" i="34"/>
  <c r="P1308" i="34"/>
  <c r="X1308" i="34"/>
  <c r="Q1312" i="34"/>
  <c r="O1312" i="34"/>
  <c r="AA1312" i="34"/>
  <c r="P1312" i="34"/>
  <c r="X1312" i="34"/>
  <c r="Q1316" i="34"/>
  <c r="O1316" i="34"/>
  <c r="AA1316" i="34"/>
  <c r="P1316" i="34"/>
  <c r="X1316" i="34"/>
  <c r="Q1320" i="34"/>
  <c r="O1320" i="34"/>
  <c r="AA1320" i="34"/>
  <c r="P1320" i="34"/>
  <c r="X1320" i="34"/>
  <c r="Q1324" i="34"/>
  <c r="O1324" i="34"/>
  <c r="AA1324" i="34"/>
  <c r="P1324" i="34"/>
  <c r="X1324" i="34"/>
  <c r="Q1328" i="34"/>
  <c r="O1328" i="34"/>
  <c r="AA1328" i="34"/>
  <c r="P1328" i="34"/>
  <c r="X1328" i="34"/>
  <c r="Q1332" i="34"/>
  <c r="O1332" i="34"/>
  <c r="AA1332" i="34"/>
  <c r="P1332" i="34"/>
  <c r="X1332" i="34"/>
  <c r="Q1336" i="34"/>
  <c r="O1336" i="34"/>
  <c r="AA1336" i="34"/>
  <c r="P1336" i="34"/>
  <c r="X1336" i="34"/>
  <c r="Q1340" i="34"/>
  <c r="O1340" i="34"/>
  <c r="AA1340" i="34"/>
  <c r="P1340" i="34"/>
  <c r="X1340" i="34"/>
  <c r="Q1344" i="34"/>
  <c r="O1344" i="34"/>
  <c r="AA1344" i="34"/>
  <c r="P1344" i="34"/>
  <c r="X1344" i="34"/>
  <c r="Q1348" i="34"/>
  <c r="O1348" i="34"/>
  <c r="AA1348" i="34"/>
  <c r="P1348" i="34"/>
  <c r="X1348" i="34"/>
  <c r="Q1352" i="34"/>
  <c r="O1352" i="34"/>
  <c r="AA1352" i="34"/>
  <c r="P1352" i="34"/>
  <c r="X1352" i="34"/>
  <c r="Q1356" i="34"/>
  <c r="O1356" i="34"/>
  <c r="AA1356" i="34"/>
  <c r="P1356" i="34"/>
  <c r="X1356" i="34"/>
  <c r="O1360" i="34"/>
  <c r="AA1360" i="34"/>
  <c r="Q1360" i="34"/>
  <c r="P1360" i="34"/>
  <c r="X1360" i="34"/>
  <c r="O1364" i="34"/>
  <c r="AA1364" i="34"/>
  <c r="P1364" i="34"/>
  <c r="X1364" i="34"/>
  <c r="Q1364" i="34"/>
  <c r="O1368" i="34"/>
  <c r="AA1368" i="34"/>
  <c r="P1368" i="34"/>
  <c r="X1368" i="34"/>
  <c r="Q1368" i="34"/>
  <c r="O1372" i="34"/>
  <c r="AA1372" i="34"/>
  <c r="P1372" i="34"/>
  <c r="X1372" i="34"/>
  <c r="Q1372" i="34"/>
  <c r="O1376" i="34"/>
  <c r="AA1376" i="34"/>
  <c r="P1376" i="34"/>
  <c r="X1376" i="34"/>
  <c r="Q1376" i="34"/>
  <c r="O1380" i="34"/>
  <c r="AA1380" i="34"/>
  <c r="P1380" i="34"/>
  <c r="X1380" i="34"/>
  <c r="Q1380" i="34"/>
  <c r="O1384" i="34"/>
  <c r="AA1384" i="34"/>
  <c r="P1384" i="34"/>
  <c r="X1384" i="34"/>
  <c r="Q1384" i="34"/>
  <c r="O1388" i="34"/>
  <c r="AA1388" i="34"/>
  <c r="P1388" i="34"/>
  <c r="X1388" i="34"/>
  <c r="Q1388" i="34"/>
  <c r="O1392" i="34"/>
  <c r="AA1392" i="34"/>
  <c r="P1392" i="34"/>
  <c r="X1392" i="34"/>
  <c r="Q1392" i="34"/>
  <c r="O1396" i="34"/>
  <c r="AA1396" i="34"/>
  <c r="P1396" i="34"/>
  <c r="X1396" i="34"/>
  <c r="Q1396" i="34"/>
  <c r="O1400" i="34"/>
  <c r="AA1400" i="34"/>
  <c r="P1400" i="34"/>
  <c r="X1400" i="34"/>
  <c r="Q1400" i="34"/>
  <c r="O1404" i="34"/>
  <c r="AA1404" i="34"/>
  <c r="P1404" i="34"/>
  <c r="X1404" i="34"/>
  <c r="Q1404" i="34"/>
  <c r="O1408" i="34"/>
  <c r="AA1408" i="34"/>
  <c r="P1408" i="34"/>
  <c r="X1408" i="34"/>
  <c r="Q1408" i="34"/>
  <c r="O1412" i="34"/>
  <c r="AA1412" i="34"/>
  <c r="P1412" i="34"/>
  <c r="X1412" i="34"/>
  <c r="Q1412" i="34"/>
  <c r="O1416" i="34"/>
  <c r="AA1416" i="34"/>
  <c r="P1416" i="34"/>
  <c r="X1416" i="34"/>
  <c r="Q1416" i="34"/>
  <c r="O1420" i="34"/>
  <c r="AA1420" i="34"/>
  <c r="P1420" i="34"/>
  <c r="X1420" i="34"/>
  <c r="Q1420" i="34"/>
  <c r="O1424" i="34"/>
  <c r="AA1424" i="34"/>
  <c r="P1424" i="34"/>
  <c r="X1424" i="34"/>
  <c r="Q1424" i="34"/>
  <c r="O1428" i="34"/>
  <c r="AA1428" i="34"/>
  <c r="P1428" i="34"/>
  <c r="X1428" i="34"/>
  <c r="Q1428" i="34"/>
  <c r="O1432" i="34"/>
  <c r="AA1432" i="34"/>
  <c r="P1432" i="34"/>
  <c r="X1432" i="34"/>
  <c r="Q1432" i="34"/>
  <c r="O1436" i="34"/>
  <c r="AA1436" i="34"/>
  <c r="P1436" i="34"/>
  <c r="X1436" i="34"/>
  <c r="Q1436" i="34"/>
  <c r="O1440" i="34"/>
  <c r="AA1440" i="34"/>
  <c r="P1440" i="34"/>
  <c r="X1440" i="34"/>
  <c r="Q1440" i="34"/>
  <c r="O1444" i="34"/>
  <c r="AA1444" i="34"/>
  <c r="P1444" i="34"/>
  <c r="X1444" i="34"/>
  <c r="Q1444" i="34"/>
  <c r="O1448" i="34"/>
  <c r="AA1448" i="34"/>
  <c r="P1448" i="34"/>
  <c r="X1448" i="34"/>
  <c r="Q1448" i="34"/>
  <c r="O1452" i="34"/>
  <c r="AA1452" i="34"/>
  <c r="P1452" i="34"/>
  <c r="X1452" i="34"/>
  <c r="Q1452" i="34"/>
  <c r="O1456" i="34"/>
  <c r="AA1456" i="34"/>
  <c r="P1456" i="34"/>
  <c r="X1456" i="34"/>
  <c r="Q1456" i="34"/>
  <c r="O1460" i="34"/>
  <c r="AA1460" i="34"/>
  <c r="P1460" i="34"/>
  <c r="X1460" i="34"/>
  <c r="Q1460" i="34"/>
  <c r="O1464" i="34"/>
  <c r="AA1464" i="34"/>
  <c r="P1464" i="34"/>
  <c r="X1464" i="34"/>
  <c r="Q1464" i="34"/>
  <c r="O1468" i="34"/>
  <c r="AA1468" i="34"/>
  <c r="P1468" i="34"/>
  <c r="X1468" i="34"/>
  <c r="Q1468" i="34"/>
  <c r="O1472" i="34"/>
  <c r="AA1472" i="34"/>
  <c r="P1472" i="34"/>
  <c r="X1472" i="34"/>
  <c r="Q1472" i="34"/>
  <c r="O1476" i="34"/>
  <c r="AA1476" i="34"/>
  <c r="P1476" i="34"/>
  <c r="X1476" i="34"/>
  <c r="Q1476" i="34"/>
  <c r="O1480" i="34"/>
  <c r="AA1480" i="34"/>
  <c r="P1480" i="34"/>
  <c r="X1480" i="34"/>
  <c r="Q1480" i="34"/>
  <c r="O1484" i="34"/>
  <c r="AA1484" i="34"/>
  <c r="P1484" i="34"/>
  <c r="X1484" i="34"/>
  <c r="Q1484" i="34"/>
  <c r="O1488" i="34"/>
  <c r="AA1488" i="34"/>
  <c r="P1488" i="34"/>
  <c r="X1488" i="34"/>
  <c r="Q1488" i="34"/>
  <c r="O1492" i="34"/>
  <c r="AA1492" i="34"/>
  <c r="P1492" i="34"/>
  <c r="X1492" i="34"/>
  <c r="Q1492" i="34"/>
  <c r="O1496" i="34"/>
  <c r="AA1496" i="34"/>
  <c r="P1496" i="34"/>
  <c r="X1496" i="34"/>
  <c r="Q1496" i="34"/>
  <c r="O1500" i="34"/>
  <c r="AA1500" i="34"/>
  <c r="P1500" i="34"/>
  <c r="X1500" i="34"/>
  <c r="Q1500" i="34"/>
  <c r="O1504" i="34"/>
  <c r="AA1504" i="34"/>
  <c r="P1504" i="34"/>
  <c r="X1504" i="34"/>
  <c r="Q1504" i="34"/>
  <c r="O1508" i="34"/>
  <c r="AA1508" i="34"/>
  <c r="P1508" i="34"/>
  <c r="X1508" i="34"/>
  <c r="Q1508" i="34"/>
  <c r="O1512" i="34"/>
  <c r="AA1512" i="34"/>
  <c r="P1512" i="34"/>
  <c r="X1512" i="34"/>
  <c r="Q1512" i="34"/>
  <c r="O1516" i="34"/>
  <c r="AA1516" i="34"/>
  <c r="P1516" i="34"/>
  <c r="X1516" i="34"/>
  <c r="Q1516" i="34"/>
  <c r="O1520" i="34"/>
  <c r="AA1520" i="34"/>
  <c r="P1520" i="34"/>
  <c r="X1520" i="34"/>
  <c r="Q1520" i="34"/>
  <c r="O1578" i="34"/>
  <c r="AA1578" i="34"/>
  <c r="P1578" i="34"/>
  <c r="X1578" i="34"/>
  <c r="Q1578" i="34"/>
  <c r="Q1583" i="34"/>
  <c r="O1583" i="34"/>
  <c r="AA1583" i="34"/>
  <c r="P1583" i="34"/>
  <c r="X1583" i="34"/>
  <c r="O1586" i="34"/>
  <c r="AA1586" i="34"/>
  <c r="Q1586" i="34"/>
  <c r="A1257" i="34"/>
  <c r="A1253" i="34"/>
  <c r="A1249" i="34"/>
  <c r="A1245" i="34"/>
  <c r="A1241" i="34"/>
  <c r="A1237" i="34"/>
  <c r="A1233" i="34"/>
  <c r="A1229" i="34"/>
  <c r="A1225" i="34"/>
  <c r="A1221" i="34"/>
  <c r="A1213" i="34"/>
  <c r="A1209" i="34"/>
  <c r="A1201" i="34"/>
  <c r="A1197" i="34"/>
  <c r="A1193" i="34"/>
  <c r="A1189" i="34"/>
  <c r="A1185" i="34"/>
  <c r="A1181" i="34"/>
  <c r="A1177" i="34"/>
  <c r="A1173" i="34"/>
  <c r="A1169" i="34"/>
  <c r="A1165" i="34"/>
  <c r="A1161" i="34"/>
  <c r="A1157" i="34"/>
  <c r="A1153" i="34"/>
  <c r="A1149" i="34"/>
  <c r="A1145" i="34"/>
  <c r="A1141" i="34"/>
  <c r="A1137" i="34"/>
  <c r="A1133" i="34"/>
  <c r="A1129" i="34"/>
  <c r="A1125" i="34"/>
  <c r="A1121" i="34"/>
  <c r="A1117" i="34"/>
  <c r="A1113" i="34"/>
  <c r="A1109" i="34"/>
  <c r="A1105" i="34"/>
  <c r="A1101" i="34"/>
  <c r="A1097" i="34"/>
  <c r="A1093" i="34"/>
  <c r="A1089" i="34"/>
  <c r="A1085" i="34"/>
  <c r="A1081" i="34"/>
  <c r="A1077" i="34"/>
  <c r="A1073" i="34"/>
  <c r="A1069" i="34"/>
  <c r="A1065" i="34"/>
  <c r="A1061" i="34"/>
  <c r="A1057" i="34"/>
  <c r="A1053" i="34"/>
  <c r="A1049" i="34"/>
  <c r="A1045" i="34"/>
  <c r="A1041" i="34"/>
  <c r="A1037" i="34"/>
  <c r="A1033" i="34"/>
  <c r="A1029" i="34"/>
  <c r="A1025" i="34"/>
  <c r="A1009" i="34"/>
  <c r="A1005" i="34"/>
  <c r="A1001" i="34"/>
  <c r="A997" i="34"/>
  <c r="A993" i="34"/>
  <c r="A989" i="34"/>
  <c r="A985" i="34"/>
  <c r="A981" i="34"/>
  <c r="A977" i="34"/>
  <c r="A973" i="34"/>
  <c r="A969" i="34"/>
  <c r="A965" i="34"/>
  <c r="A961" i="34"/>
  <c r="X1637" i="34"/>
  <c r="P1637" i="34"/>
  <c r="X1635" i="34"/>
  <c r="P1635" i="34"/>
  <c r="X1633" i="34"/>
  <c r="P1633" i="34"/>
  <c r="X1631" i="34"/>
  <c r="P1631" i="34"/>
  <c r="X1629" i="34"/>
  <c r="P1629" i="34"/>
  <c r="X1627" i="34"/>
  <c r="P1627" i="34"/>
  <c r="X1625" i="34"/>
  <c r="P1625" i="34"/>
  <c r="X1623" i="34"/>
  <c r="P1623" i="34"/>
  <c r="X1621" i="34"/>
  <c r="P1621" i="34"/>
  <c r="X1619" i="34"/>
  <c r="P1619" i="34"/>
  <c r="X1617" i="34"/>
  <c r="P1617" i="34"/>
  <c r="X1615" i="34"/>
  <c r="P1615" i="34"/>
  <c r="X1613" i="34"/>
  <c r="P1613" i="34"/>
  <c r="X1611" i="34"/>
  <c r="P1611" i="34"/>
  <c r="X1609" i="34"/>
  <c r="P1609" i="34"/>
  <c r="X1607" i="34"/>
  <c r="P1607" i="34"/>
  <c r="X1605" i="34"/>
  <c r="P1605" i="34"/>
  <c r="X1603" i="34"/>
  <c r="P1603" i="34"/>
  <c r="X1601" i="34"/>
  <c r="P1601" i="34"/>
  <c r="X1599" i="34"/>
  <c r="P1599" i="34"/>
  <c r="X1597" i="34"/>
  <c r="P1597" i="34"/>
  <c r="X1595" i="34"/>
  <c r="P1595" i="34"/>
  <c r="X1593" i="34"/>
  <c r="P1593" i="34"/>
  <c r="X1591" i="34"/>
  <c r="O1591" i="34"/>
  <c r="P1590" i="34"/>
  <c r="X1588" i="34"/>
  <c r="O1588" i="34"/>
  <c r="P1586" i="34"/>
  <c r="P1582" i="34"/>
  <c r="O1205" i="34"/>
  <c r="AA1205" i="34"/>
  <c r="P1205" i="34"/>
  <c r="X1205" i="34"/>
  <c r="Q1205" i="34"/>
  <c r="O1217" i="34"/>
  <c r="AA1217" i="34"/>
  <c r="P1217" i="34"/>
  <c r="X1217" i="34"/>
  <c r="Q1217" i="34"/>
  <c r="Q1230" i="34"/>
  <c r="O1230" i="34"/>
  <c r="AA1230" i="34"/>
  <c r="P1230" i="34"/>
  <c r="X1230" i="34"/>
  <c r="Q1234" i="34"/>
  <c r="O1234" i="34"/>
  <c r="AA1234" i="34"/>
  <c r="P1234" i="34"/>
  <c r="X1234" i="34"/>
  <c r="Q1242" i="34"/>
  <c r="O1242" i="34"/>
  <c r="AA1242" i="34"/>
  <c r="P1242" i="34"/>
  <c r="X1242" i="34"/>
  <c r="Q1250" i="34"/>
  <c r="O1250" i="34"/>
  <c r="AA1250" i="34"/>
  <c r="P1250" i="34"/>
  <c r="X1250" i="34"/>
  <c r="Q1258" i="34"/>
  <c r="O1258" i="34"/>
  <c r="AA1258" i="34"/>
  <c r="P1258" i="34"/>
  <c r="X1258" i="34"/>
  <c r="Q1198" i="34"/>
  <c r="O1198" i="34"/>
  <c r="AA1198" i="34"/>
  <c r="P1198" i="34"/>
  <c r="X1198" i="34"/>
  <c r="Q1202" i="34"/>
  <c r="O1202" i="34"/>
  <c r="AA1202" i="34"/>
  <c r="P1202" i="34"/>
  <c r="X1202" i="34"/>
  <c r="Q1210" i="34"/>
  <c r="O1210" i="34"/>
  <c r="AA1210" i="34"/>
  <c r="P1210" i="34"/>
  <c r="X1210" i="34"/>
  <c r="Q1218" i="34"/>
  <c r="O1218" i="34"/>
  <c r="AA1218" i="34"/>
  <c r="P1218" i="34"/>
  <c r="X1218" i="34"/>
  <c r="Q1158" i="34"/>
  <c r="O1158" i="34"/>
  <c r="AA1158" i="34"/>
  <c r="P1158" i="34"/>
  <c r="X1158" i="34"/>
  <c r="Q1162" i="34"/>
  <c r="O1162" i="34"/>
  <c r="AA1162" i="34"/>
  <c r="P1162" i="34"/>
  <c r="X1162" i="34"/>
  <c r="Q1170" i="34"/>
  <c r="O1170" i="34"/>
  <c r="AA1170" i="34"/>
  <c r="P1170" i="34"/>
  <c r="X1170" i="34"/>
  <c r="Q1178" i="34"/>
  <c r="O1178" i="34"/>
  <c r="AA1178" i="34"/>
  <c r="P1178" i="34"/>
  <c r="X1178" i="34"/>
  <c r="Q1182" i="34"/>
  <c r="O1182" i="34"/>
  <c r="AA1182" i="34"/>
  <c r="P1182" i="34"/>
  <c r="X1182" i="34"/>
  <c r="Q1190" i="34"/>
  <c r="O1190" i="34"/>
  <c r="AA1190" i="34"/>
  <c r="P1190" i="34"/>
  <c r="X1190" i="34"/>
  <c r="P1130" i="34"/>
  <c r="X1130" i="34"/>
  <c r="Q1130" i="34"/>
  <c r="O1130" i="34"/>
  <c r="AA1130" i="34"/>
  <c r="P1138" i="34"/>
  <c r="X1138" i="34"/>
  <c r="O1138" i="34"/>
  <c r="AA1138" i="34"/>
  <c r="Q1138" i="34"/>
  <c r="Q1146" i="34"/>
  <c r="O1146" i="34"/>
  <c r="AA1146" i="34"/>
  <c r="P1146" i="34"/>
  <c r="X1146" i="34"/>
  <c r="Q1154" i="34"/>
  <c r="O1154" i="34"/>
  <c r="AA1154" i="34"/>
  <c r="P1154" i="34"/>
  <c r="X1154" i="34"/>
  <c r="P1094" i="34"/>
  <c r="X1094" i="34"/>
  <c r="Q1094" i="34"/>
  <c r="O1094" i="34"/>
  <c r="AA1094" i="34"/>
  <c r="P1102" i="34"/>
  <c r="X1102" i="34"/>
  <c r="Q1102" i="34"/>
  <c r="O1102" i="34"/>
  <c r="AA1102" i="34"/>
  <c r="P1106" i="34"/>
  <c r="X1106" i="34"/>
  <c r="Q1106" i="34"/>
  <c r="O1106" i="34"/>
  <c r="AA1106" i="34"/>
  <c r="P1114" i="34"/>
  <c r="X1114" i="34"/>
  <c r="Q1114" i="34"/>
  <c r="O1114" i="34"/>
  <c r="AA1114" i="34"/>
  <c r="P1122" i="34"/>
  <c r="X1122" i="34"/>
  <c r="Q1122" i="34"/>
  <c r="O1122" i="34"/>
  <c r="AA1122" i="34"/>
  <c r="P1062" i="34"/>
  <c r="X1062" i="34"/>
  <c r="Q1062" i="34"/>
  <c r="O1062" i="34"/>
  <c r="AA1062" i="34"/>
  <c r="P1066" i="34"/>
  <c r="X1066" i="34"/>
  <c r="Q1066" i="34"/>
  <c r="O1066" i="34"/>
  <c r="AA1066" i="34"/>
  <c r="P1074" i="34"/>
  <c r="X1074" i="34"/>
  <c r="Q1074" i="34"/>
  <c r="O1074" i="34"/>
  <c r="AA1074" i="34"/>
  <c r="P1082" i="34"/>
  <c r="X1082" i="34"/>
  <c r="Q1082" i="34"/>
  <c r="O1082" i="34"/>
  <c r="AA1082" i="34"/>
  <c r="P1022" i="34"/>
  <c r="X1022" i="34"/>
  <c r="Q1022" i="34"/>
  <c r="O1022" i="34"/>
  <c r="AA1022" i="34"/>
  <c r="P1030" i="34"/>
  <c r="X1030" i="34"/>
  <c r="Q1030" i="34"/>
  <c r="O1030" i="34"/>
  <c r="AA1030" i="34"/>
  <c r="P1038" i="34"/>
  <c r="X1038" i="34"/>
  <c r="Q1038" i="34"/>
  <c r="O1038" i="34"/>
  <c r="AA1038" i="34"/>
  <c r="P1046" i="34"/>
  <c r="X1046" i="34"/>
  <c r="Q1046" i="34"/>
  <c r="O1046" i="34"/>
  <c r="AA1046" i="34"/>
  <c r="P1054" i="34"/>
  <c r="X1054" i="34"/>
  <c r="Q1054" i="34"/>
  <c r="O1054" i="34"/>
  <c r="AA1054" i="34"/>
  <c r="P998" i="34"/>
  <c r="X998" i="34"/>
  <c r="Q998" i="34"/>
  <c r="O998" i="34"/>
  <c r="AA998" i="34"/>
  <c r="P1006" i="34"/>
  <c r="X1006" i="34"/>
  <c r="Q1006" i="34"/>
  <c r="O1006" i="34"/>
  <c r="AA1006" i="34"/>
  <c r="P1010" i="34"/>
  <c r="X1010" i="34"/>
  <c r="Q1010" i="34"/>
  <c r="O1010" i="34"/>
  <c r="AA1010" i="34"/>
  <c r="P1014" i="34"/>
  <c r="X1014" i="34"/>
  <c r="Q1014" i="34"/>
  <c r="O1014" i="34"/>
  <c r="AA1014" i="34"/>
  <c r="P958" i="34"/>
  <c r="X958" i="34"/>
  <c r="Q958" i="34"/>
  <c r="O958" i="34"/>
  <c r="AA958" i="34"/>
  <c r="P966" i="34"/>
  <c r="X966" i="34"/>
  <c r="Q966" i="34"/>
  <c r="O966" i="34"/>
  <c r="AA966" i="34"/>
  <c r="P990" i="34"/>
  <c r="X990" i="34"/>
  <c r="Q990" i="34"/>
  <c r="O990" i="34"/>
  <c r="AA990" i="34"/>
  <c r="O1227" i="34"/>
  <c r="AA1227" i="34"/>
  <c r="P1227" i="34"/>
  <c r="X1227" i="34"/>
  <c r="Q1227" i="34"/>
  <c r="O1231" i="34"/>
  <c r="AA1231" i="34"/>
  <c r="P1231" i="34"/>
  <c r="X1231" i="34"/>
  <c r="Q1231" i="34"/>
  <c r="O1235" i="34"/>
  <c r="AA1235" i="34"/>
  <c r="P1235" i="34"/>
  <c r="X1235" i="34"/>
  <c r="Q1235" i="34"/>
  <c r="O1239" i="34"/>
  <c r="AA1239" i="34"/>
  <c r="P1239" i="34"/>
  <c r="X1239" i="34"/>
  <c r="Q1239" i="34"/>
  <c r="O1243" i="34"/>
  <c r="AA1243" i="34"/>
  <c r="P1243" i="34"/>
  <c r="X1243" i="34"/>
  <c r="Q1243" i="34"/>
  <c r="O1247" i="34"/>
  <c r="AA1247" i="34"/>
  <c r="P1247" i="34"/>
  <c r="X1247" i="34"/>
  <c r="Q1247" i="34"/>
  <c r="O1251" i="34"/>
  <c r="AA1251" i="34"/>
  <c r="P1251" i="34"/>
  <c r="X1251" i="34"/>
  <c r="Q1251" i="34"/>
  <c r="O1255" i="34"/>
  <c r="AA1255" i="34"/>
  <c r="P1255" i="34"/>
  <c r="X1255" i="34"/>
  <c r="Q1255" i="34"/>
  <c r="O1259" i="34"/>
  <c r="AA1259" i="34"/>
  <c r="P1259" i="34"/>
  <c r="X1259" i="34"/>
  <c r="Q1259" i="34"/>
  <c r="O1195" i="34"/>
  <c r="AA1195" i="34"/>
  <c r="P1195" i="34"/>
  <c r="X1195" i="34"/>
  <c r="Q1195" i="34"/>
  <c r="O1199" i="34"/>
  <c r="AA1199" i="34"/>
  <c r="P1199" i="34"/>
  <c r="X1199" i="34"/>
  <c r="Q1199" i="34"/>
  <c r="O1203" i="34"/>
  <c r="AA1203" i="34"/>
  <c r="P1203" i="34"/>
  <c r="X1203" i="34"/>
  <c r="Q1203" i="34"/>
  <c r="O1207" i="34"/>
  <c r="AA1207" i="34"/>
  <c r="P1207" i="34"/>
  <c r="X1207" i="34"/>
  <c r="Q1207" i="34"/>
  <c r="O1211" i="34"/>
  <c r="AA1211" i="34"/>
  <c r="P1211" i="34"/>
  <c r="X1211" i="34"/>
  <c r="Q1211" i="34"/>
  <c r="O1215" i="34"/>
  <c r="AA1215" i="34"/>
  <c r="P1215" i="34"/>
  <c r="X1215" i="34"/>
  <c r="Q1215" i="34"/>
  <c r="O1219" i="34"/>
  <c r="AA1219" i="34"/>
  <c r="P1219" i="34"/>
  <c r="X1219" i="34"/>
  <c r="Q1219" i="34"/>
  <c r="O1223" i="34"/>
  <c r="AA1223" i="34"/>
  <c r="P1223" i="34"/>
  <c r="X1223" i="34"/>
  <c r="Q1223" i="34"/>
  <c r="O1159" i="34"/>
  <c r="AA1159" i="34"/>
  <c r="P1159" i="34"/>
  <c r="X1159" i="34"/>
  <c r="Q1159" i="34"/>
  <c r="O1163" i="34"/>
  <c r="AA1163" i="34"/>
  <c r="P1163" i="34"/>
  <c r="X1163" i="34"/>
  <c r="Q1163" i="34"/>
  <c r="O1167" i="34"/>
  <c r="AA1167" i="34"/>
  <c r="P1167" i="34"/>
  <c r="X1167" i="34"/>
  <c r="Q1167" i="34"/>
  <c r="O1171" i="34"/>
  <c r="AA1171" i="34"/>
  <c r="P1171" i="34"/>
  <c r="X1171" i="34"/>
  <c r="Q1171" i="34"/>
  <c r="O1175" i="34"/>
  <c r="AA1175" i="34"/>
  <c r="P1175" i="34"/>
  <c r="X1175" i="34"/>
  <c r="Q1175" i="34"/>
  <c r="O1179" i="34"/>
  <c r="AA1179" i="34"/>
  <c r="P1179" i="34"/>
  <c r="X1179" i="34"/>
  <c r="Q1179" i="34"/>
  <c r="O1183" i="34"/>
  <c r="AA1183" i="34"/>
  <c r="P1183" i="34"/>
  <c r="X1183" i="34"/>
  <c r="Q1183" i="34"/>
  <c r="O1187" i="34"/>
  <c r="AA1187" i="34"/>
  <c r="P1187" i="34"/>
  <c r="X1187" i="34"/>
  <c r="Q1187" i="34"/>
  <c r="O1191" i="34"/>
  <c r="AA1191" i="34"/>
  <c r="P1191" i="34"/>
  <c r="X1191" i="34"/>
  <c r="Q1191" i="34"/>
  <c r="O1127" i="34"/>
  <c r="AA1127" i="34"/>
  <c r="P1127" i="34"/>
  <c r="X1127" i="34"/>
  <c r="Q1127" i="34"/>
  <c r="O1131" i="34"/>
  <c r="AA1131" i="34"/>
  <c r="P1131" i="34"/>
  <c r="X1131" i="34"/>
  <c r="Q1131" i="34"/>
  <c r="Q1135" i="34"/>
  <c r="AA1135" i="34"/>
  <c r="O1135" i="34"/>
  <c r="X1135" i="34"/>
  <c r="P1135" i="34"/>
  <c r="Q1139" i="34"/>
  <c r="O1139" i="34"/>
  <c r="X1139" i="34"/>
  <c r="P1139" i="34"/>
  <c r="AA1139" i="34"/>
  <c r="O1143" i="34"/>
  <c r="AA1143" i="34"/>
  <c r="P1143" i="34"/>
  <c r="X1143" i="34"/>
  <c r="Q1143" i="34"/>
  <c r="O1147" i="34"/>
  <c r="AA1147" i="34"/>
  <c r="P1147" i="34"/>
  <c r="X1147" i="34"/>
  <c r="Q1147" i="34"/>
  <c r="O1151" i="34"/>
  <c r="AA1151" i="34"/>
  <c r="P1151" i="34"/>
  <c r="X1151" i="34"/>
  <c r="Q1151" i="34"/>
  <c r="O1155" i="34"/>
  <c r="AA1155" i="34"/>
  <c r="P1155" i="34"/>
  <c r="X1155" i="34"/>
  <c r="Q1155" i="34"/>
  <c r="O1091" i="34"/>
  <c r="AA1091" i="34"/>
  <c r="P1091" i="34"/>
  <c r="X1091" i="34"/>
  <c r="Q1091" i="34"/>
  <c r="O1095" i="34"/>
  <c r="AA1095" i="34"/>
  <c r="P1095" i="34"/>
  <c r="X1095" i="34"/>
  <c r="Q1095" i="34"/>
  <c r="O1099" i="34"/>
  <c r="AA1099" i="34"/>
  <c r="P1099" i="34"/>
  <c r="X1099" i="34"/>
  <c r="Q1099" i="34"/>
  <c r="O1103" i="34"/>
  <c r="AA1103" i="34"/>
  <c r="P1103" i="34"/>
  <c r="X1103" i="34"/>
  <c r="Q1103" i="34"/>
  <c r="O1107" i="34"/>
  <c r="AA1107" i="34"/>
  <c r="P1107" i="34"/>
  <c r="X1107" i="34"/>
  <c r="Q1107" i="34"/>
  <c r="O1111" i="34"/>
  <c r="AA1111" i="34"/>
  <c r="P1111" i="34"/>
  <c r="X1111" i="34"/>
  <c r="Q1111" i="34"/>
  <c r="O1115" i="34"/>
  <c r="AA1115" i="34"/>
  <c r="P1115" i="34"/>
  <c r="X1115" i="34"/>
  <c r="Q1115" i="34"/>
  <c r="O1119" i="34"/>
  <c r="AA1119" i="34"/>
  <c r="P1119" i="34"/>
  <c r="X1119" i="34"/>
  <c r="Q1119" i="34"/>
  <c r="O1123" i="34"/>
  <c r="AA1123" i="34"/>
  <c r="P1123" i="34"/>
  <c r="X1123" i="34"/>
  <c r="Q1123" i="34"/>
  <c r="O1059" i="34"/>
  <c r="AA1059" i="34"/>
  <c r="P1059" i="34"/>
  <c r="X1059" i="34"/>
  <c r="Q1059" i="34"/>
  <c r="O1063" i="34"/>
  <c r="AA1063" i="34"/>
  <c r="P1063" i="34"/>
  <c r="X1063" i="34"/>
  <c r="Q1063" i="34"/>
  <c r="O1067" i="34"/>
  <c r="AA1067" i="34"/>
  <c r="P1067" i="34"/>
  <c r="X1067" i="34"/>
  <c r="Q1067" i="34"/>
  <c r="O1071" i="34"/>
  <c r="AA1071" i="34"/>
  <c r="P1071" i="34"/>
  <c r="X1071" i="34"/>
  <c r="Q1071" i="34"/>
  <c r="O1075" i="34"/>
  <c r="AA1075" i="34"/>
  <c r="P1075" i="34"/>
  <c r="X1075" i="34"/>
  <c r="Q1075" i="34"/>
  <c r="O1079" i="34"/>
  <c r="AA1079" i="34"/>
  <c r="P1079" i="34"/>
  <c r="X1079" i="34"/>
  <c r="Q1079" i="34"/>
  <c r="O1083" i="34"/>
  <c r="AA1083" i="34"/>
  <c r="P1083" i="34"/>
  <c r="X1083" i="34"/>
  <c r="Q1083" i="34"/>
  <c r="O1087" i="34"/>
  <c r="AA1087" i="34"/>
  <c r="P1087" i="34"/>
  <c r="X1087" i="34"/>
  <c r="Q1087" i="34"/>
  <c r="O1023" i="34"/>
  <c r="AA1023" i="34"/>
  <c r="P1023" i="34"/>
  <c r="X1023" i="34"/>
  <c r="Q1023" i="34"/>
  <c r="O1027" i="34"/>
  <c r="AA1027" i="34"/>
  <c r="P1027" i="34"/>
  <c r="X1027" i="34"/>
  <c r="Q1027" i="34"/>
  <c r="O1031" i="34"/>
  <c r="AA1031" i="34"/>
  <c r="P1031" i="34"/>
  <c r="X1031" i="34"/>
  <c r="Q1031" i="34"/>
  <c r="O1035" i="34"/>
  <c r="AA1035" i="34"/>
  <c r="P1035" i="34"/>
  <c r="X1035" i="34"/>
  <c r="Q1035" i="34"/>
  <c r="O1039" i="34"/>
  <c r="AA1039" i="34"/>
  <c r="P1039" i="34"/>
  <c r="X1039" i="34"/>
  <c r="Q1039" i="34"/>
  <c r="O1043" i="34"/>
  <c r="AA1043" i="34"/>
  <c r="P1043" i="34"/>
  <c r="X1043" i="34"/>
  <c r="Q1043" i="34"/>
  <c r="O1047" i="34"/>
  <c r="AA1047" i="34"/>
  <c r="P1047" i="34"/>
  <c r="X1047" i="34"/>
  <c r="Q1047" i="34"/>
  <c r="O1051" i="34"/>
  <c r="AA1051" i="34"/>
  <c r="P1051" i="34"/>
  <c r="X1051" i="34"/>
  <c r="Q1051" i="34"/>
  <c r="O1055" i="34"/>
  <c r="AA1055" i="34"/>
  <c r="P1055" i="34"/>
  <c r="X1055" i="34"/>
  <c r="Q1055" i="34"/>
  <c r="O995" i="34"/>
  <c r="AA995" i="34"/>
  <c r="P995" i="34"/>
  <c r="X995" i="34"/>
  <c r="Q995" i="34"/>
  <c r="O999" i="34"/>
  <c r="AA999" i="34"/>
  <c r="P999" i="34"/>
  <c r="X999" i="34"/>
  <c r="Q999" i="34"/>
  <c r="O1003" i="34"/>
  <c r="AA1003" i="34"/>
  <c r="P1003" i="34"/>
  <c r="X1003" i="34"/>
  <c r="Q1003" i="34"/>
  <c r="O1007" i="34"/>
  <c r="AA1007" i="34"/>
  <c r="P1007" i="34"/>
  <c r="X1007" i="34"/>
  <c r="Q1007" i="34"/>
  <c r="O1011" i="34"/>
  <c r="AA1011" i="34"/>
  <c r="P1011" i="34"/>
  <c r="X1011" i="34"/>
  <c r="Q1011" i="34"/>
  <c r="O1015" i="34"/>
  <c r="AA1015" i="34"/>
  <c r="P1015" i="34"/>
  <c r="X1015" i="34"/>
  <c r="Q1015" i="34"/>
  <c r="O1019" i="34"/>
  <c r="AA1019" i="34"/>
  <c r="P1019" i="34"/>
  <c r="X1019" i="34"/>
  <c r="Q1019" i="34"/>
  <c r="O959" i="34"/>
  <c r="AA959" i="34"/>
  <c r="P959" i="34"/>
  <c r="X959" i="34"/>
  <c r="Q959" i="34"/>
  <c r="O963" i="34"/>
  <c r="AA963" i="34"/>
  <c r="P963" i="34"/>
  <c r="X963" i="34"/>
  <c r="Q963" i="34"/>
  <c r="O967" i="34"/>
  <c r="AA967" i="34"/>
  <c r="P967" i="34"/>
  <c r="X967" i="34"/>
  <c r="Q967" i="34"/>
  <c r="O971" i="34"/>
  <c r="AA971" i="34"/>
  <c r="P971" i="34"/>
  <c r="X971" i="34"/>
  <c r="Q971" i="34"/>
  <c r="O975" i="34"/>
  <c r="AA975" i="34"/>
  <c r="P975" i="34"/>
  <c r="X975" i="34"/>
  <c r="Q975" i="34"/>
  <c r="O979" i="34"/>
  <c r="AA979" i="34"/>
  <c r="P979" i="34"/>
  <c r="X979" i="34"/>
  <c r="Q979" i="34"/>
  <c r="O983" i="34"/>
  <c r="AA983" i="34"/>
  <c r="P983" i="34"/>
  <c r="X983" i="34"/>
  <c r="Q983" i="34"/>
  <c r="O987" i="34"/>
  <c r="AA987" i="34"/>
  <c r="P987" i="34"/>
  <c r="X987" i="34"/>
  <c r="Q987" i="34"/>
  <c r="O991" i="34"/>
  <c r="AA991" i="34"/>
  <c r="P991" i="34"/>
  <c r="X991" i="34"/>
  <c r="Q991" i="34"/>
  <c r="O1297" i="34"/>
  <c r="AA1297" i="34"/>
  <c r="P1297" i="34"/>
  <c r="X1297" i="34"/>
  <c r="Q1297" i="34"/>
  <c r="O1301" i="34"/>
  <c r="AA1301" i="34"/>
  <c r="P1301" i="34"/>
  <c r="X1301" i="34"/>
  <c r="Q1301" i="34"/>
  <c r="O1305" i="34"/>
  <c r="AA1305" i="34"/>
  <c r="P1305" i="34"/>
  <c r="X1305" i="34"/>
  <c r="Q1305" i="34"/>
  <c r="O1309" i="34"/>
  <c r="AA1309" i="34"/>
  <c r="P1309" i="34"/>
  <c r="X1309" i="34"/>
  <c r="Q1309" i="34"/>
  <c r="O1313" i="34"/>
  <c r="AA1313" i="34"/>
  <c r="P1313" i="34"/>
  <c r="X1313" i="34"/>
  <c r="Q1313" i="34"/>
  <c r="O1317" i="34"/>
  <c r="AA1317" i="34"/>
  <c r="P1317" i="34"/>
  <c r="X1317" i="34"/>
  <c r="Q1317" i="34"/>
  <c r="O1321" i="34"/>
  <c r="AA1321" i="34"/>
  <c r="P1321" i="34"/>
  <c r="X1321" i="34"/>
  <c r="Q1321" i="34"/>
  <c r="O1325" i="34"/>
  <c r="AA1325" i="34"/>
  <c r="P1325" i="34"/>
  <c r="X1325" i="34"/>
  <c r="Q1325" i="34"/>
  <c r="O1329" i="34"/>
  <c r="AA1329" i="34"/>
  <c r="P1329" i="34"/>
  <c r="X1329" i="34"/>
  <c r="Q1329" i="34"/>
  <c r="O1333" i="34"/>
  <c r="AA1333" i="34"/>
  <c r="P1333" i="34"/>
  <c r="X1333" i="34"/>
  <c r="Q1333" i="34"/>
  <c r="O1337" i="34"/>
  <c r="AA1337" i="34"/>
  <c r="P1337" i="34"/>
  <c r="X1337" i="34"/>
  <c r="Q1337" i="34"/>
  <c r="O1341" i="34"/>
  <c r="AA1341" i="34"/>
  <c r="P1341" i="34"/>
  <c r="X1341" i="34"/>
  <c r="Q1341" i="34"/>
  <c r="O1345" i="34"/>
  <c r="AA1345" i="34"/>
  <c r="P1345" i="34"/>
  <c r="X1345" i="34"/>
  <c r="Q1345" i="34"/>
  <c r="O1349" i="34"/>
  <c r="AA1349" i="34"/>
  <c r="P1349" i="34"/>
  <c r="X1349" i="34"/>
  <c r="Q1349" i="34"/>
  <c r="O1353" i="34"/>
  <c r="AA1353" i="34"/>
  <c r="Q1353" i="34"/>
  <c r="X1353" i="34"/>
  <c r="P1353" i="34"/>
  <c r="O1357" i="34"/>
  <c r="AA1357" i="34"/>
  <c r="Q1357" i="34"/>
  <c r="X1357" i="34"/>
  <c r="P1357" i="34"/>
  <c r="Q1361" i="34"/>
  <c r="P1361" i="34"/>
  <c r="AA1361" i="34"/>
  <c r="O1361" i="34"/>
  <c r="X1361" i="34"/>
  <c r="Q1365" i="34"/>
  <c r="O1365" i="34"/>
  <c r="AA1365" i="34"/>
  <c r="P1365" i="34"/>
  <c r="X1365" i="34"/>
  <c r="Q1369" i="34"/>
  <c r="O1369" i="34"/>
  <c r="AA1369" i="34"/>
  <c r="P1369" i="34"/>
  <c r="X1369" i="34"/>
  <c r="Q1373" i="34"/>
  <c r="O1373" i="34"/>
  <c r="AA1373" i="34"/>
  <c r="P1373" i="34"/>
  <c r="X1373" i="34"/>
  <c r="Q1377" i="34"/>
  <c r="O1377" i="34"/>
  <c r="AA1377" i="34"/>
  <c r="P1377" i="34"/>
  <c r="X1377" i="34"/>
  <c r="Q1381" i="34"/>
  <c r="O1381" i="34"/>
  <c r="AA1381" i="34"/>
  <c r="P1381" i="34"/>
  <c r="X1381" i="34"/>
  <c r="Q1385" i="34"/>
  <c r="O1385" i="34"/>
  <c r="AA1385" i="34"/>
  <c r="P1385" i="34"/>
  <c r="X1385" i="34"/>
  <c r="Q1389" i="34"/>
  <c r="O1389" i="34"/>
  <c r="AA1389" i="34"/>
  <c r="P1389" i="34"/>
  <c r="X1389" i="34"/>
  <c r="Q1393" i="34"/>
  <c r="O1393" i="34"/>
  <c r="AA1393" i="34"/>
  <c r="P1393" i="34"/>
  <c r="X1393" i="34"/>
  <c r="Q1397" i="34"/>
  <c r="O1397" i="34"/>
  <c r="AA1397" i="34"/>
  <c r="P1397" i="34"/>
  <c r="X1397" i="34"/>
  <c r="Q1401" i="34"/>
  <c r="O1401" i="34"/>
  <c r="AA1401" i="34"/>
  <c r="P1401" i="34"/>
  <c r="X1401" i="34"/>
  <c r="Q1405" i="34"/>
  <c r="O1405" i="34"/>
  <c r="AA1405" i="34"/>
  <c r="P1405" i="34"/>
  <c r="X1405" i="34"/>
  <c r="Q1409" i="34"/>
  <c r="O1409" i="34"/>
  <c r="AA1409" i="34"/>
  <c r="P1409" i="34"/>
  <c r="X1409" i="34"/>
  <c r="Q1413" i="34"/>
  <c r="O1413" i="34"/>
  <c r="AA1413" i="34"/>
  <c r="P1413" i="34"/>
  <c r="X1413" i="34"/>
  <c r="Q1417" i="34"/>
  <c r="O1417" i="34"/>
  <c r="AA1417" i="34"/>
  <c r="P1417" i="34"/>
  <c r="X1417" i="34"/>
  <c r="Q1421" i="34"/>
  <c r="O1421" i="34"/>
  <c r="AA1421" i="34"/>
  <c r="P1421" i="34"/>
  <c r="X1421" i="34"/>
  <c r="Q1425" i="34"/>
  <c r="O1425" i="34"/>
  <c r="AA1425" i="34"/>
  <c r="P1425" i="34"/>
  <c r="X1425" i="34"/>
  <c r="Q1429" i="34"/>
  <c r="O1429" i="34"/>
  <c r="AA1429" i="34"/>
  <c r="P1429" i="34"/>
  <c r="X1429" i="34"/>
  <c r="Q1433" i="34"/>
  <c r="O1433" i="34"/>
  <c r="AA1433" i="34"/>
  <c r="P1433" i="34"/>
  <c r="X1433" i="34"/>
  <c r="Q1437" i="34"/>
  <c r="O1437" i="34"/>
  <c r="AA1437" i="34"/>
  <c r="P1437" i="34"/>
  <c r="X1437" i="34"/>
  <c r="Q1441" i="34"/>
  <c r="O1441" i="34"/>
  <c r="AA1441" i="34"/>
  <c r="P1441" i="34"/>
  <c r="X1441" i="34"/>
  <c r="Q1445" i="34"/>
  <c r="O1445" i="34"/>
  <c r="AA1445" i="34"/>
  <c r="P1445" i="34"/>
  <c r="X1445" i="34"/>
  <c r="Q1449" i="34"/>
  <c r="O1449" i="34"/>
  <c r="AA1449" i="34"/>
  <c r="P1449" i="34"/>
  <c r="X1449" i="34"/>
  <c r="Q1453" i="34"/>
  <c r="O1453" i="34"/>
  <c r="AA1453" i="34"/>
  <c r="P1453" i="34"/>
  <c r="X1453" i="34"/>
  <c r="Q1457" i="34"/>
  <c r="O1457" i="34"/>
  <c r="AA1457" i="34"/>
  <c r="P1457" i="34"/>
  <c r="X1457" i="34"/>
  <c r="Q1461" i="34"/>
  <c r="O1461" i="34"/>
  <c r="AA1461" i="34"/>
  <c r="P1461" i="34"/>
  <c r="X1461" i="34"/>
  <c r="Q1465" i="34"/>
  <c r="O1465" i="34"/>
  <c r="AA1465" i="34"/>
  <c r="P1465" i="34"/>
  <c r="X1465" i="34"/>
  <c r="Q1469" i="34"/>
  <c r="O1469" i="34"/>
  <c r="AA1469" i="34"/>
  <c r="P1469" i="34"/>
  <c r="X1469" i="34"/>
  <c r="Q1473" i="34"/>
  <c r="O1473" i="34"/>
  <c r="AA1473" i="34"/>
  <c r="P1473" i="34"/>
  <c r="X1473" i="34"/>
  <c r="Q1477" i="34"/>
  <c r="O1477" i="34"/>
  <c r="AA1477" i="34"/>
  <c r="P1477" i="34"/>
  <c r="X1477" i="34"/>
  <c r="Q1481" i="34"/>
  <c r="O1481" i="34"/>
  <c r="AA1481" i="34"/>
  <c r="P1481" i="34"/>
  <c r="X1481" i="34"/>
  <c r="Q1485" i="34"/>
  <c r="O1485" i="34"/>
  <c r="AA1485" i="34"/>
  <c r="P1485" i="34"/>
  <c r="X1485" i="34"/>
  <c r="Q1489" i="34"/>
  <c r="O1489" i="34"/>
  <c r="AA1489" i="34"/>
  <c r="P1489" i="34"/>
  <c r="X1489" i="34"/>
  <c r="Q1493" i="34"/>
  <c r="O1493" i="34"/>
  <c r="AA1493" i="34"/>
  <c r="P1493" i="34"/>
  <c r="X1493" i="34"/>
  <c r="Q1497" i="34"/>
  <c r="O1497" i="34"/>
  <c r="AA1497" i="34"/>
  <c r="P1497" i="34"/>
  <c r="X1497" i="34"/>
  <c r="Q1501" i="34"/>
  <c r="O1501" i="34"/>
  <c r="AA1501" i="34"/>
  <c r="P1501" i="34"/>
  <c r="X1501" i="34"/>
  <c r="Q1505" i="34"/>
  <c r="O1505" i="34"/>
  <c r="AA1505" i="34"/>
  <c r="P1505" i="34"/>
  <c r="X1505" i="34"/>
  <c r="Q1509" i="34"/>
  <c r="O1509" i="34"/>
  <c r="AA1509" i="34"/>
  <c r="P1509" i="34"/>
  <c r="X1509" i="34"/>
  <c r="Q1513" i="34"/>
  <c r="O1513" i="34"/>
  <c r="AA1513" i="34"/>
  <c r="P1513" i="34"/>
  <c r="X1513" i="34"/>
  <c r="Q1517" i="34"/>
  <c r="O1517" i="34"/>
  <c r="AA1517" i="34"/>
  <c r="P1517" i="34"/>
  <c r="X1517" i="34"/>
  <c r="Q1521" i="34"/>
  <c r="O1521" i="34"/>
  <c r="AA1521" i="34"/>
  <c r="P1521" i="34"/>
  <c r="X1521" i="34"/>
  <c r="O1524" i="34"/>
  <c r="AA1524" i="34"/>
  <c r="P1524" i="34"/>
  <c r="X1524" i="34"/>
  <c r="Q1524" i="34"/>
  <c r="O1526" i="34"/>
  <c r="AA1526" i="34"/>
  <c r="P1526" i="34"/>
  <c r="X1526" i="34"/>
  <c r="Q1526" i="34"/>
  <c r="O1528" i="34"/>
  <c r="AA1528" i="34"/>
  <c r="P1528" i="34"/>
  <c r="X1528" i="34"/>
  <c r="Q1528" i="34"/>
  <c r="O1530" i="34"/>
  <c r="AA1530" i="34"/>
  <c r="P1530" i="34"/>
  <c r="X1530" i="34"/>
  <c r="Q1530" i="34"/>
  <c r="O1532" i="34"/>
  <c r="AA1532" i="34"/>
  <c r="P1532" i="34"/>
  <c r="X1532" i="34"/>
  <c r="Q1532" i="34"/>
  <c r="O1534" i="34"/>
  <c r="AA1534" i="34"/>
  <c r="P1534" i="34"/>
  <c r="X1534" i="34"/>
  <c r="Q1534" i="34"/>
  <c r="O1536" i="34"/>
  <c r="AA1536" i="34"/>
  <c r="P1536" i="34"/>
  <c r="X1536" i="34"/>
  <c r="Q1536" i="34"/>
  <c r="O1538" i="34"/>
  <c r="AA1538" i="34"/>
  <c r="P1538" i="34"/>
  <c r="X1538" i="34"/>
  <c r="Q1538" i="34"/>
  <c r="O1540" i="34"/>
  <c r="AA1540" i="34"/>
  <c r="P1540" i="34"/>
  <c r="X1540" i="34"/>
  <c r="Q1540" i="34"/>
  <c r="O1542" i="34"/>
  <c r="AA1542" i="34"/>
  <c r="P1542" i="34"/>
  <c r="X1542" i="34"/>
  <c r="Q1542" i="34"/>
  <c r="O1544" i="34"/>
  <c r="AA1544" i="34"/>
  <c r="P1544" i="34"/>
  <c r="X1544" i="34"/>
  <c r="Q1544" i="34"/>
  <c r="O1546" i="34"/>
  <c r="AA1546" i="34"/>
  <c r="P1546" i="34"/>
  <c r="X1546" i="34"/>
  <c r="Q1546" i="34"/>
  <c r="O1548" i="34"/>
  <c r="AA1548" i="34"/>
  <c r="P1548" i="34"/>
  <c r="X1548" i="34"/>
  <c r="Q1548" i="34"/>
  <c r="O1550" i="34"/>
  <c r="AA1550" i="34"/>
  <c r="P1550" i="34"/>
  <c r="X1550" i="34"/>
  <c r="Q1550" i="34"/>
  <c r="O1552" i="34"/>
  <c r="AA1552" i="34"/>
  <c r="P1552" i="34"/>
  <c r="X1552" i="34"/>
  <c r="Q1552" i="34"/>
  <c r="O1554" i="34"/>
  <c r="AA1554" i="34"/>
  <c r="P1554" i="34"/>
  <c r="X1554" i="34"/>
  <c r="Q1554" i="34"/>
  <c r="O1556" i="34"/>
  <c r="AA1556" i="34"/>
  <c r="P1556" i="34"/>
  <c r="X1556" i="34"/>
  <c r="Q1556" i="34"/>
  <c r="O1558" i="34"/>
  <c r="AA1558" i="34"/>
  <c r="P1558" i="34"/>
  <c r="X1558" i="34"/>
  <c r="Q1558" i="34"/>
  <c r="O1560" i="34"/>
  <c r="AA1560" i="34"/>
  <c r="P1560" i="34"/>
  <c r="X1560" i="34"/>
  <c r="Q1560" i="34"/>
  <c r="O1562" i="34"/>
  <c r="AA1562" i="34"/>
  <c r="P1562" i="34"/>
  <c r="X1562" i="34"/>
  <c r="Q1562" i="34"/>
  <c r="O1564" i="34"/>
  <c r="AA1564" i="34"/>
  <c r="P1564" i="34"/>
  <c r="X1564" i="34"/>
  <c r="Q1564" i="34"/>
  <c r="O1566" i="34"/>
  <c r="AA1566" i="34"/>
  <c r="P1566" i="34"/>
  <c r="X1566" i="34"/>
  <c r="Q1566" i="34"/>
  <c r="O1568" i="34"/>
  <c r="AA1568" i="34"/>
  <c r="P1568" i="34"/>
  <c r="X1568" i="34"/>
  <c r="Q1568" i="34"/>
  <c r="O1570" i="34"/>
  <c r="AA1570" i="34"/>
  <c r="P1570" i="34"/>
  <c r="X1570" i="34"/>
  <c r="Q1570" i="34"/>
  <c r="O1572" i="34"/>
  <c r="AA1572" i="34"/>
  <c r="P1572" i="34"/>
  <c r="X1572" i="34"/>
  <c r="Q1572" i="34"/>
  <c r="O1574" i="34"/>
  <c r="AA1574" i="34"/>
  <c r="P1574" i="34"/>
  <c r="X1574" i="34"/>
  <c r="Q1574" i="34"/>
  <c r="O1576" i="34"/>
  <c r="AA1576" i="34"/>
  <c r="P1576" i="34"/>
  <c r="X1576" i="34"/>
  <c r="Q1576" i="34"/>
  <c r="A1579" i="34"/>
  <c r="Q1581" i="34"/>
  <c r="O1581" i="34"/>
  <c r="AA1581" i="34"/>
  <c r="P1581" i="34"/>
  <c r="X1581" i="34"/>
  <c r="O1584" i="34"/>
  <c r="AA1584" i="34"/>
  <c r="Q1584" i="34"/>
  <c r="Q1587" i="34"/>
  <c r="O1587" i="34"/>
  <c r="AA1587" i="34"/>
  <c r="P1587" i="34"/>
  <c r="X1587" i="34"/>
  <c r="A1488" i="34"/>
  <c r="A1484" i="34"/>
  <c r="A1480" i="34"/>
  <c r="A1476" i="34"/>
  <c r="A1472" i="34"/>
  <c r="A1468" i="34"/>
  <c r="A1464" i="34"/>
  <c r="A1460" i="34"/>
  <c r="A1456" i="34"/>
  <c r="A1452" i="34"/>
  <c r="A1448" i="34"/>
  <c r="A1444" i="34"/>
  <c r="A1440" i="34"/>
  <c r="A1436" i="34"/>
  <c r="A1432" i="34"/>
  <c r="A1428" i="34"/>
  <c r="A1424" i="34"/>
  <c r="A1420" i="34"/>
  <c r="A1416" i="34"/>
  <c r="A1412" i="34"/>
  <c r="A1408" i="34"/>
  <c r="A1404" i="34"/>
  <c r="A1400" i="34"/>
  <c r="A1396" i="34"/>
  <c r="A1392" i="34"/>
  <c r="A1388" i="34"/>
  <c r="A1384" i="34"/>
  <c r="A1380" i="34"/>
  <c r="A1376" i="34"/>
  <c r="A1372" i="34"/>
  <c r="A1368" i="34"/>
  <c r="A1364" i="34"/>
  <c r="A1360" i="34"/>
  <c r="A1356" i="34"/>
  <c r="A1352" i="34"/>
  <c r="A1348" i="34"/>
  <c r="A1344" i="34"/>
  <c r="A1340" i="34"/>
  <c r="A1336" i="34"/>
  <c r="A1332" i="34"/>
  <c r="A1328" i="34"/>
  <c r="A1324" i="34"/>
  <c r="A1320" i="34"/>
  <c r="A1316" i="34"/>
  <c r="A1312" i="34"/>
  <c r="A1308" i="34"/>
  <c r="A1304" i="34"/>
  <c r="A1300" i="34"/>
  <c r="A1296" i="34"/>
  <c r="A1256" i="34"/>
  <c r="A1252" i="34"/>
  <c r="A1248" i="34"/>
  <c r="A1244" i="34"/>
  <c r="A1240" i="34"/>
  <c r="A1236" i="34"/>
  <c r="A1232" i="34"/>
  <c r="A1228" i="34"/>
  <c r="A1224" i="34"/>
  <c r="A1220" i="34"/>
  <c r="A1216" i="34"/>
  <c r="A1212" i="34"/>
  <c r="A1208" i="34"/>
  <c r="A1204" i="34"/>
  <c r="A1200" i="34"/>
  <c r="A1196" i="34"/>
  <c r="A1192" i="34"/>
  <c r="A1188" i="34"/>
  <c r="A1184" i="34"/>
  <c r="A1180" i="34"/>
  <c r="A1176" i="34"/>
  <c r="A1172" i="34"/>
  <c r="A1168" i="34"/>
  <c r="A1164" i="34"/>
  <c r="A1160" i="34"/>
  <c r="A1156" i="34"/>
  <c r="A1152" i="34"/>
  <c r="A1148" i="34"/>
  <c r="A1144" i="34"/>
  <c r="A1140" i="34"/>
  <c r="A1136" i="34"/>
  <c r="A1132" i="34"/>
  <c r="A1128" i="34"/>
  <c r="A1124" i="34"/>
  <c r="A1120" i="34"/>
  <c r="A1116" i="34"/>
  <c r="A1112" i="34"/>
  <c r="A1108" i="34"/>
  <c r="A1104" i="34"/>
  <c r="A1100" i="34"/>
  <c r="A1096" i="34"/>
  <c r="A1092" i="34"/>
  <c r="A1088" i="34"/>
  <c r="A1084" i="34"/>
  <c r="A1080" i="34"/>
  <c r="A1076" i="34"/>
  <c r="A1072" i="34"/>
  <c r="A1068" i="34"/>
  <c r="A1064" i="34"/>
  <c r="A1060" i="34"/>
  <c r="A1056" i="34"/>
  <c r="A1052" i="34"/>
  <c r="A1048" i="34"/>
  <c r="A1044" i="34"/>
  <c r="A1040" i="34"/>
  <c r="A1036" i="34"/>
  <c r="A1032" i="34"/>
  <c r="A1028" i="34"/>
  <c r="A1024" i="34"/>
  <c r="A1008" i="34"/>
  <c r="A1004" i="34"/>
  <c r="A1000" i="34"/>
  <c r="A996" i="34"/>
  <c r="A992" i="34"/>
  <c r="A988" i="34"/>
  <c r="A984" i="34"/>
  <c r="A980" i="34"/>
  <c r="A976" i="34"/>
  <c r="A972" i="34"/>
  <c r="A968" i="34"/>
  <c r="A964" i="34"/>
  <c r="A960" i="34"/>
  <c r="AA1637" i="34"/>
  <c r="AA1635" i="34"/>
  <c r="AA1633" i="34"/>
  <c r="AA1631" i="34"/>
  <c r="AA1629" i="34"/>
  <c r="AA1627" i="34"/>
  <c r="AA1625" i="34"/>
  <c r="AA1623" i="34"/>
  <c r="AA1621" i="34"/>
  <c r="AA1619" i="34"/>
  <c r="AA1617" i="34"/>
  <c r="AA1615" i="34"/>
  <c r="AA1613" i="34"/>
  <c r="AA1611" i="34"/>
  <c r="AA1609" i="34"/>
  <c r="AA1607" i="34"/>
  <c r="AA1605" i="34"/>
  <c r="AA1603" i="34"/>
  <c r="AA1601" i="34"/>
  <c r="AA1599" i="34"/>
  <c r="AA1597" i="34"/>
  <c r="AA1595" i="34"/>
  <c r="AA1593" i="34"/>
  <c r="AA1591" i="34"/>
  <c r="X1590" i="34"/>
  <c r="O1590" i="34"/>
  <c r="AA1588" i="34"/>
  <c r="X1586" i="34"/>
  <c r="X1584" i="34"/>
  <c r="X1582" i="34"/>
  <c r="A1500" i="34"/>
  <c r="A1502" i="34"/>
  <c r="A1504" i="34"/>
  <c r="A1506" i="34"/>
  <c r="A1508" i="34"/>
  <c r="A1510" i="34"/>
  <c r="A1512" i="34"/>
  <c r="A1514" i="34"/>
  <c r="A1516" i="34"/>
  <c r="A1518" i="34"/>
  <c r="A1520" i="34"/>
  <c r="A1522" i="34"/>
  <c r="A1501" i="34"/>
  <c r="A1503" i="34"/>
  <c r="A1505" i="34"/>
  <c r="A1507" i="34"/>
  <c r="A1509" i="34"/>
  <c r="A1511" i="34"/>
  <c r="A1513" i="34"/>
  <c r="A1515" i="34"/>
  <c r="A1517" i="34"/>
  <c r="A1519" i="34"/>
  <c r="A1521" i="34"/>
  <c r="A1523" i="34"/>
  <c r="A1490" i="34"/>
  <c r="A1491" i="34"/>
  <c r="A1492" i="34"/>
  <c r="A1493" i="34"/>
  <c r="A1494" i="34"/>
  <c r="A1495" i="34"/>
  <c r="A1496" i="34"/>
  <c r="A1497" i="34"/>
  <c r="A1498" i="34"/>
  <c r="A1499" i="34"/>
  <c r="A1587" i="34"/>
  <c r="A1591" i="34"/>
  <c r="A1595" i="34"/>
  <c r="A1597" i="34"/>
  <c r="A1599" i="34"/>
  <c r="A1601" i="34"/>
  <c r="A1578" i="34"/>
  <c r="A1580" i="34"/>
  <c r="A1582" i="34"/>
  <c r="A1584" i="34"/>
  <c r="A1586" i="34"/>
  <c r="A1590" i="34"/>
  <c r="A1594" i="34"/>
  <c r="A1589" i="34"/>
  <c r="A1593" i="34"/>
  <c r="A1596" i="34"/>
  <c r="A1598" i="34"/>
  <c r="A1600" i="34"/>
  <c r="A1602" i="34"/>
  <c r="A1588" i="34"/>
  <c r="A1592" i="34"/>
  <c r="A1611" i="34"/>
  <c r="A1615" i="34"/>
  <c r="A1619" i="34"/>
  <c r="A1626" i="34"/>
  <c r="A1630" i="34"/>
  <c r="A1603" i="34"/>
  <c r="A1604" i="34"/>
  <c r="A1605" i="34"/>
  <c r="A1606" i="34"/>
  <c r="A1607" i="34"/>
  <c r="A1608" i="34"/>
  <c r="A1609" i="34"/>
  <c r="A1610" i="34"/>
  <c r="A1612" i="34"/>
  <c r="A1616" i="34"/>
  <c r="A1620" i="34"/>
  <c r="A1625" i="34"/>
  <c r="A1629" i="34"/>
  <c r="A1633" i="34"/>
  <c r="A1613" i="34"/>
  <c r="A1617" i="34"/>
  <c r="A1621" i="34"/>
  <c r="A1624" i="34"/>
  <c r="A1628" i="34"/>
  <c r="A1632" i="34"/>
  <c r="A1614" i="34"/>
  <c r="A1618" i="34"/>
  <c r="A1622" i="34"/>
  <c r="A1623" i="34"/>
  <c r="A1627" i="34"/>
  <c r="A1631" i="34"/>
  <c r="A1634" i="34"/>
  <c r="A1635" i="34"/>
  <c r="A1636" i="34"/>
  <c r="A1637" i="34"/>
  <c r="A1638" i="34"/>
  <c r="D51" i="70" l="1"/>
  <c r="B348" i="55" l="1"/>
  <c r="A348" i="55" s="1"/>
  <c r="AC950" i="34"/>
  <c r="AC949" i="34"/>
  <c r="AC947" i="34"/>
  <c r="AC944" i="34"/>
  <c r="AC942" i="34"/>
  <c r="AC941" i="34"/>
  <c r="AC921" i="34"/>
  <c r="AC920" i="34"/>
  <c r="AC919" i="34"/>
  <c r="AC917" i="34"/>
  <c r="AC916" i="34"/>
  <c r="AC915" i="34"/>
  <c r="AC913" i="34"/>
  <c r="AC912" i="34"/>
  <c r="AC911" i="34"/>
  <c r="AC887" i="34"/>
  <c r="AC874" i="34"/>
  <c r="AC867" i="34"/>
  <c r="AC866" i="34"/>
  <c r="AC865" i="34"/>
  <c r="AC861" i="34"/>
  <c r="AC860" i="34"/>
  <c r="AC851" i="34"/>
  <c r="AC850" i="34"/>
  <c r="AC837" i="34"/>
  <c r="AC827" i="34"/>
  <c r="AC824" i="34"/>
  <c r="AC801" i="34"/>
  <c r="AC800" i="34"/>
  <c r="AC799" i="34"/>
  <c r="AC797" i="34"/>
  <c r="AC796" i="34"/>
  <c r="AC795" i="34"/>
  <c r="AC793" i="34"/>
  <c r="AC787" i="34"/>
  <c r="AC786" i="34"/>
  <c r="AC777" i="34"/>
  <c r="AC776" i="34"/>
  <c r="AC775" i="34"/>
  <c r="AC773" i="34"/>
  <c r="AC772" i="34"/>
  <c r="AC771" i="34"/>
  <c r="AC770" i="34"/>
  <c r="AC769" i="34"/>
  <c r="AC768" i="34"/>
  <c r="AC764" i="34"/>
  <c r="AC763" i="34"/>
  <c r="AC761" i="34"/>
  <c r="AC760" i="34"/>
  <c r="AC757" i="34"/>
  <c r="AC755" i="34"/>
  <c r="AC754" i="34"/>
  <c r="AC753" i="34"/>
  <c r="AC743" i="34"/>
  <c r="AC742" i="34"/>
  <c r="AC741" i="34"/>
  <c r="AC737" i="34"/>
  <c r="AC736" i="34"/>
  <c r="AC735" i="34"/>
  <c r="AC733" i="34"/>
  <c r="AC732" i="34"/>
  <c r="AC727" i="34"/>
  <c r="AC725" i="34"/>
  <c r="AC720" i="34"/>
  <c r="AC719" i="34"/>
  <c r="AC718" i="34"/>
  <c r="AC717" i="34"/>
  <c r="AC716" i="34"/>
  <c r="AC715" i="34"/>
  <c r="AC704" i="34"/>
  <c r="AC703" i="34"/>
  <c r="AC702" i="34"/>
  <c r="AC701" i="34"/>
  <c r="AC700" i="34"/>
  <c r="AC698" i="34"/>
  <c r="AC696" i="34"/>
  <c r="AC691" i="34"/>
  <c r="AC690" i="34"/>
  <c r="AC689" i="34"/>
  <c r="AC688" i="34"/>
  <c r="AC687" i="34"/>
  <c r="AC684" i="34"/>
  <c r="AC683" i="34"/>
  <c r="AC682" i="34"/>
  <c r="AC681" i="34"/>
  <c r="AC678" i="34"/>
  <c r="AC677" i="34"/>
  <c r="AC676" i="34"/>
  <c r="AC668" i="34"/>
  <c r="AC667" i="34"/>
  <c r="AC666" i="34"/>
  <c r="AC665" i="34"/>
  <c r="AC662" i="34"/>
  <c r="AC661" i="34"/>
  <c r="AC660" i="34"/>
  <c r="AC659" i="34"/>
  <c r="AC658" i="34"/>
  <c r="AC657" i="34"/>
  <c r="AC649" i="34"/>
  <c r="AC647" i="34"/>
  <c r="AC646" i="34"/>
  <c r="AC637" i="34"/>
  <c r="AC636" i="34"/>
  <c r="AC631" i="34"/>
  <c r="AC630" i="34"/>
  <c r="AC629" i="34"/>
  <c r="AC628" i="34"/>
  <c r="AC626" i="34"/>
  <c r="AC617" i="34"/>
  <c r="AC616" i="34"/>
  <c r="AC615" i="34"/>
  <c r="AC607" i="34"/>
  <c r="AC606" i="34"/>
  <c r="AC603" i="34"/>
  <c r="AC602" i="34"/>
  <c r="AC601" i="34"/>
  <c r="AC597" i="34"/>
  <c r="AC596" i="34"/>
  <c r="AC595" i="34"/>
  <c r="AC594" i="34"/>
  <c r="AC593" i="34"/>
  <c r="AC587" i="34"/>
  <c r="AC586" i="34"/>
  <c r="AC585" i="34"/>
  <c r="AC584" i="34"/>
  <c r="AC583" i="34"/>
  <c r="AC579" i="34"/>
  <c r="AC578" i="34"/>
  <c r="AC575" i="34"/>
  <c r="AC574" i="34"/>
  <c r="AC573" i="34"/>
  <c r="AC572" i="34"/>
  <c r="AC571" i="34"/>
  <c r="AC570" i="34"/>
  <c r="AC569" i="34"/>
  <c r="AC568" i="34"/>
  <c r="AC566" i="34"/>
  <c r="AC565" i="34"/>
  <c r="AC560" i="34"/>
  <c r="AC559" i="34"/>
  <c r="AC558" i="34"/>
  <c r="AC557" i="34"/>
  <c r="AC554" i="34"/>
  <c r="AC553" i="34"/>
  <c r="AC552" i="34"/>
  <c r="AC548" i="34"/>
  <c r="AC547" i="34"/>
  <c r="AC546" i="34"/>
  <c r="AC538" i="34"/>
  <c r="AC535" i="34"/>
  <c r="AC534" i="34"/>
  <c r="AC528" i="34"/>
  <c r="AC527" i="34"/>
  <c r="AC526" i="34"/>
  <c r="AC525" i="34"/>
  <c r="AC524" i="34"/>
  <c r="AC523" i="34"/>
  <c r="AC521" i="34"/>
  <c r="AC520" i="34"/>
  <c r="AC519" i="34"/>
  <c r="AC518" i="34"/>
  <c r="AC514" i="34"/>
  <c r="AC513" i="34"/>
  <c r="AC512" i="34"/>
  <c r="AC511" i="34"/>
  <c r="AC509" i="34"/>
  <c r="AC508" i="34"/>
  <c r="AC507" i="34"/>
  <c r="AC506" i="34"/>
  <c r="AC505" i="34"/>
  <c r="AC498" i="34"/>
  <c r="AC497" i="34"/>
  <c r="AC496" i="34"/>
  <c r="AC495" i="34"/>
  <c r="AC492" i="34"/>
  <c r="AC491" i="34"/>
  <c r="AC489" i="34"/>
  <c r="AC487" i="34"/>
  <c r="AC486" i="34"/>
  <c r="AC485" i="34"/>
  <c r="AC484" i="34"/>
  <c r="AC483" i="34"/>
  <c r="AC482" i="34"/>
  <c r="AC481" i="34"/>
  <c r="AC477" i="34"/>
  <c r="AC476" i="34"/>
  <c r="AC475" i="34"/>
  <c r="AC473" i="34"/>
  <c r="AC472" i="34"/>
  <c r="AC470" i="34"/>
  <c r="AC469" i="34"/>
  <c r="AC468" i="34"/>
  <c r="AC467" i="34"/>
  <c r="AC466" i="34"/>
  <c r="AC457" i="34"/>
  <c r="AC456" i="34"/>
  <c r="AC454" i="34"/>
  <c r="AC453" i="34"/>
  <c r="AC452" i="34"/>
  <c r="AC450" i="34"/>
  <c r="AC449" i="34"/>
  <c r="AC448" i="34"/>
  <c r="AC447" i="34"/>
  <c r="AC446" i="34"/>
  <c r="AC445" i="34"/>
  <c r="AC444" i="34"/>
  <c r="AC437" i="34"/>
  <c r="AC436" i="34"/>
  <c r="AC435" i="34"/>
  <c r="AC434" i="34"/>
  <c r="AC433" i="34"/>
  <c r="AC431" i="34"/>
  <c r="AC430" i="34"/>
  <c r="AC429" i="34"/>
  <c r="AC428" i="34"/>
  <c r="AC421" i="34"/>
  <c r="AC420" i="34"/>
  <c r="AC414" i="34"/>
  <c r="AC413" i="34"/>
  <c r="AC412" i="34"/>
  <c r="AC411" i="34"/>
  <c r="AC410" i="34"/>
  <c r="AC409" i="34"/>
  <c r="AC405" i="34"/>
  <c r="AC404" i="34"/>
  <c r="AC403" i="34"/>
  <c r="AC400" i="34"/>
  <c r="AC398" i="34"/>
  <c r="AC397" i="34"/>
  <c r="AC396" i="34"/>
  <c r="AC395" i="34"/>
  <c r="AC394" i="34"/>
  <c r="AC393" i="34"/>
  <c r="AC391" i="34"/>
  <c r="AC390" i="34"/>
  <c r="AC389" i="34"/>
  <c r="AC388" i="34"/>
  <c r="AC387" i="34"/>
  <c r="AC386" i="34"/>
  <c r="AC385" i="34"/>
  <c r="AC384" i="34"/>
  <c r="AC382" i="34"/>
  <c r="AC381" i="34"/>
  <c r="AC380" i="34"/>
  <c r="AC379" i="34"/>
  <c r="AC378" i="34"/>
  <c r="AC377" i="34"/>
  <c r="AC375" i="34"/>
  <c r="AC374" i="34"/>
  <c r="AC373" i="34"/>
  <c r="AC372" i="34"/>
  <c r="AC371" i="34"/>
  <c r="AC370" i="34"/>
  <c r="AC368" i="34"/>
  <c r="AC367" i="34"/>
  <c r="AC366" i="34"/>
  <c r="AC365" i="34"/>
  <c r="AC364" i="34"/>
  <c r="AC358" i="34"/>
  <c r="AC357" i="34"/>
  <c r="AC356" i="34"/>
  <c r="AC355" i="34"/>
  <c r="AC354" i="34"/>
  <c r="AC352" i="34"/>
  <c r="AC351" i="34"/>
  <c r="AC350" i="34"/>
  <c r="AC349" i="34"/>
  <c r="AC348" i="34"/>
  <c r="AC347" i="34"/>
  <c r="AC341" i="34"/>
  <c r="AC340" i="34"/>
  <c r="AC339" i="34"/>
  <c r="AC338" i="34"/>
  <c r="AC337" i="34"/>
  <c r="AC336" i="34"/>
  <c r="AC334" i="34"/>
  <c r="AC333" i="34"/>
  <c r="AC332" i="34"/>
  <c r="AC331" i="34"/>
  <c r="AC330" i="34"/>
  <c r="AC329" i="34"/>
  <c r="AC328" i="34"/>
  <c r="AC327" i="34"/>
  <c r="AC325" i="34"/>
  <c r="AC324" i="34"/>
  <c r="AC323" i="34"/>
  <c r="AC322" i="34"/>
  <c r="AC321" i="34"/>
  <c r="AC320" i="34"/>
  <c r="AC319" i="34"/>
  <c r="AC318" i="34"/>
  <c r="AC316" i="34"/>
  <c r="AC315" i="34"/>
  <c r="AC314" i="34"/>
  <c r="AC313" i="34"/>
  <c r="AC312" i="34"/>
  <c r="AC311" i="34"/>
  <c r="AC310" i="34"/>
  <c r="AC309" i="34"/>
  <c r="AC307" i="34"/>
  <c r="AC306" i="34"/>
  <c r="AC305" i="34"/>
  <c r="AC304" i="34"/>
  <c r="AC303" i="34"/>
  <c r="AC302" i="34"/>
  <c r="AC301" i="34"/>
  <c r="AC300" i="34"/>
  <c r="AC298" i="34"/>
  <c r="AC297" i="34"/>
  <c r="AC296" i="34"/>
  <c r="AC295" i="34"/>
  <c r="AC294" i="34"/>
  <c r="AC293" i="34"/>
  <c r="AC292" i="34"/>
  <c r="AC291" i="34"/>
  <c r="AC281" i="34"/>
  <c r="AC280" i="34"/>
  <c r="AC279" i="34"/>
  <c r="AC278" i="34"/>
  <c r="AC277" i="34"/>
  <c r="AC276" i="34"/>
  <c r="AC275" i="34"/>
  <c r="AC274" i="34"/>
  <c r="AC272" i="34"/>
  <c r="AC271" i="34"/>
  <c r="AC270" i="34"/>
  <c r="AC269" i="34"/>
  <c r="AC268" i="34"/>
  <c r="AC267" i="34"/>
  <c r="AC266" i="34"/>
  <c r="AC265" i="34"/>
  <c r="AC263" i="34"/>
  <c r="AC262" i="34"/>
  <c r="AC261" i="34"/>
  <c r="AC260" i="34"/>
  <c r="AC259" i="34"/>
  <c r="AC258" i="34"/>
  <c r="AC257" i="34"/>
  <c r="AC256" i="34"/>
  <c r="AC255" i="34"/>
  <c r="AC236" i="34"/>
  <c r="AC235" i="34"/>
  <c r="AC234" i="34"/>
  <c r="AC231" i="34"/>
  <c r="AC230" i="34"/>
  <c r="AC229" i="34"/>
  <c r="AC228" i="34"/>
  <c r="AC225" i="34"/>
  <c r="AC224" i="34"/>
  <c r="AC223" i="34"/>
  <c r="AC220" i="34"/>
  <c r="AC219" i="34"/>
  <c r="AC218" i="34"/>
  <c r="AC217" i="34"/>
  <c r="AC216" i="34"/>
  <c r="AC215" i="34"/>
  <c r="AC214" i="34"/>
  <c r="AC213" i="34"/>
  <c r="AC212" i="34"/>
  <c r="AC211" i="34"/>
  <c r="AC210" i="34"/>
  <c r="AC209" i="34"/>
  <c r="AC208" i="34"/>
  <c r="AC207" i="34"/>
  <c r="AC206" i="34"/>
  <c r="AC205" i="34"/>
  <c r="AC204" i="34"/>
  <c r="AC203" i="34"/>
  <c r="AC202" i="34"/>
  <c r="AC201" i="34"/>
  <c r="AC200" i="34"/>
  <c r="AC199" i="34"/>
  <c r="AC198" i="34"/>
  <c r="AC197" i="34"/>
  <c r="AC196" i="34"/>
  <c r="AC195" i="34"/>
  <c r="AC194" i="34"/>
  <c r="AC193" i="34"/>
  <c r="AC192" i="34"/>
  <c r="AC191" i="34"/>
  <c r="AC187" i="34"/>
  <c r="AC186" i="34"/>
  <c r="AC185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8" i="34"/>
  <c r="AC156" i="34"/>
  <c r="AC155" i="34"/>
  <c r="AC154" i="34"/>
  <c r="AC153" i="34"/>
  <c r="AC152" i="34"/>
  <c r="AC150" i="34"/>
  <c r="AC149" i="34"/>
  <c r="AC148" i="34"/>
  <c r="AC147" i="34"/>
  <c r="AC146" i="34"/>
  <c r="AC145" i="34"/>
  <c r="AC144" i="34"/>
  <c r="AC143" i="34"/>
  <c r="AC95" i="34"/>
  <c r="AC94" i="34"/>
  <c r="AC93" i="34"/>
  <c r="AC91" i="34"/>
  <c r="AC90" i="34"/>
  <c r="AC89" i="34"/>
  <c r="AC88" i="34"/>
  <c r="AC87" i="34"/>
  <c r="AC86" i="34"/>
  <c r="AC85" i="34"/>
  <c r="AC84" i="34"/>
  <c r="AC82" i="34"/>
  <c r="AC81" i="34"/>
  <c r="AC80" i="34"/>
  <c r="AC79" i="34"/>
  <c r="AC78" i="34"/>
  <c r="AC77" i="34"/>
  <c r="AC76" i="34"/>
  <c r="AC75" i="34"/>
  <c r="AC73" i="34"/>
  <c r="AC72" i="34"/>
  <c r="AC71" i="34"/>
  <c r="AC70" i="34"/>
  <c r="AC69" i="34"/>
  <c r="AC67" i="34"/>
  <c r="AC66" i="34"/>
  <c r="AC65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0" i="15"/>
  <c r="C41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F349" i="55" l="1"/>
  <c r="E349" i="55"/>
  <c r="N9" i="15"/>
  <c r="M9" i="15"/>
  <c r="E51" i="73"/>
  <c r="B86" i="34" l="1"/>
  <c r="B83" i="34"/>
  <c r="A86" i="34" l="1"/>
  <c r="P86" i="34"/>
  <c r="X86" i="34"/>
  <c r="Q86" i="34"/>
  <c r="O86" i="34"/>
  <c r="AA86" i="34"/>
  <c r="A83" i="34"/>
  <c r="O83" i="34"/>
  <c r="AA83" i="34"/>
  <c r="P83" i="34"/>
  <c r="X83" i="34"/>
  <c r="Q83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35" i="34"/>
  <c r="B437" i="34"/>
  <c r="B438" i="34"/>
  <c r="B439" i="34"/>
  <c r="B449" i="34"/>
  <c r="B450" i="34"/>
  <c r="B451" i="34"/>
  <c r="B462" i="34"/>
  <c r="B463" i="34"/>
  <c r="B464" i="34"/>
  <c r="B459" i="34"/>
  <c r="B460" i="34"/>
  <c r="B456" i="34"/>
  <c r="B457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A530" i="34" l="1"/>
  <c r="P530" i="34"/>
  <c r="T530" i="34"/>
  <c r="X530" i="34"/>
  <c r="Q530" i="34"/>
  <c r="R530" i="34"/>
  <c r="O530" i="34"/>
  <c r="S530" i="34"/>
  <c r="AA530" i="34"/>
  <c r="A522" i="34"/>
  <c r="P522" i="34"/>
  <c r="X522" i="34"/>
  <c r="Q522" i="34"/>
  <c r="O522" i="34"/>
  <c r="AA522" i="34"/>
  <c r="A514" i="34"/>
  <c r="P514" i="34"/>
  <c r="X514" i="34"/>
  <c r="Q514" i="34"/>
  <c r="O514" i="34"/>
  <c r="AA514" i="34"/>
  <c r="A506" i="34"/>
  <c r="P506" i="34"/>
  <c r="X506" i="34"/>
  <c r="O506" i="34"/>
  <c r="Q506" i="34"/>
  <c r="AA506" i="34"/>
  <c r="A494" i="34"/>
  <c r="O494" i="34"/>
  <c r="AA494" i="34"/>
  <c r="P494" i="34"/>
  <c r="X494" i="34"/>
  <c r="Q494" i="34"/>
  <c r="A482" i="34"/>
  <c r="O482" i="34"/>
  <c r="AA482" i="34"/>
  <c r="P482" i="34"/>
  <c r="X482" i="34"/>
  <c r="Q482" i="34"/>
  <c r="A462" i="34"/>
  <c r="R462" i="34"/>
  <c r="O462" i="34"/>
  <c r="S462" i="34"/>
  <c r="AA462" i="34"/>
  <c r="P462" i="34"/>
  <c r="T462" i="34"/>
  <c r="X462" i="34"/>
  <c r="Q462" i="34"/>
  <c r="A529" i="34"/>
  <c r="O529" i="34"/>
  <c r="AA529" i="34"/>
  <c r="P529" i="34"/>
  <c r="X529" i="34"/>
  <c r="Q529" i="34"/>
  <c r="A525" i="34"/>
  <c r="O525" i="34"/>
  <c r="AA525" i="34"/>
  <c r="P525" i="34"/>
  <c r="X525" i="34"/>
  <c r="Q525" i="34"/>
  <c r="A521" i="34"/>
  <c r="O521" i="34"/>
  <c r="AA521" i="34"/>
  <c r="P521" i="34"/>
  <c r="X521" i="34"/>
  <c r="Q521" i="34"/>
  <c r="A517" i="34"/>
  <c r="O517" i="34"/>
  <c r="AA517" i="34"/>
  <c r="P517" i="34"/>
  <c r="X517" i="34"/>
  <c r="Q517" i="34"/>
  <c r="A513" i="34"/>
  <c r="O513" i="34"/>
  <c r="AA513" i="34"/>
  <c r="P513" i="34"/>
  <c r="X513" i="34"/>
  <c r="Q513" i="34"/>
  <c r="A509" i="34"/>
  <c r="P509" i="34"/>
  <c r="X509" i="34"/>
  <c r="Q509" i="34"/>
  <c r="AA509" i="34"/>
  <c r="O509" i="34"/>
  <c r="A505" i="34"/>
  <c r="P505" i="34"/>
  <c r="X505" i="34"/>
  <c r="O505" i="34"/>
  <c r="Q505" i="34"/>
  <c r="AA505" i="34"/>
  <c r="A501" i="34"/>
  <c r="P501" i="34"/>
  <c r="T501" i="34"/>
  <c r="X501" i="34"/>
  <c r="R501" i="34"/>
  <c r="O501" i="34"/>
  <c r="AA501" i="34"/>
  <c r="Q501" i="34"/>
  <c r="S501" i="34"/>
  <c r="A497" i="34"/>
  <c r="P497" i="34"/>
  <c r="X497" i="34"/>
  <c r="O497" i="34"/>
  <c r="AA497" i="34"/>
  <c r="Q497" i="34"/>
  <c r="A493" i="34"/>
  <c r="P493" i="34"/>
  <c r="X493" i="34"/>
  <c r="Q493" i="34"/>
  <c r="O493" i="34"/>
  <c r="AA493" i="34"/>
  <c r="A489" i="34"/>
  <c r="P489" i="34"/>
  <c r="X489" i="34"/>
  <c r="Q489" i="34"/>
  <c r="O489" i="34"/>
  <c r="AA489" i="34"/>
  <c r="A485" i="34"/>
  <c r="P485" i="34"/>
  <c r="X485" i="34"/>
  <c r="Q485" i="34"/>
  <c r="O485" i="34"/>
  <c r="AA485" i="34"/>
  <c r="A481" i="34"/>
  <c r="P481" i="34"/>
  <c r="X481" i="34"/>
  <c r="Q481" i="34"/>
  <c r="O481" i="34"/>
  <c r="AA481" i="34"/>
  <c r="A477" i="34"/>
  <c r="P477" i="34"/>
  <c r="X477" i="34"/>
  <c r="Q477" i="34"/>
  <c r="O477" i="34"/>
  <c r="AA477" i="34"/>
  <c r="A473" i="34"/>
  <c r="P473" i="34"/>
  <c r="X473" i="34"/>
  <c r="Q473" i="34"/>
  <c r="O473" i="34"/>
  <c r="AA473" i="34"/>
  <c r="A469" i="34"/>
  <c r="P469" i="34"/>
  <c r="X469" i="34"/>
  <c r="Q469" i="34"/>
  <c r="O469" i="34"/>
  <c r="AA469" i="34"/>
  <c r="A465" i="34"/>
  <c r="P465" i="34"/>
  <c r="T465" i="34"/>
  <c r="X465" i="34"/>
  <c r="Q465" i="34"/>
  <c r="R465" i="34"/>
  <c r="O465" i="34"/>
  <c r="S465" i="34"/>
  <c r="AA465" i="34"/>
  <c r="A459" i="34"/>
  <c r="P459" i="34"/>
  <c r="T459" i="34"/>
  <c r="X459" i="34"/>
  <c r="Q459" i="34"/>
  <c r="R459" i="34"/>
  <c r="O459" i="34"/>
  <c r="S459" i="34"/>
  <c r="AA459" i="34"/>
  <c r="A451" i="34"/>
  <c r="P451" i="34"/>
  <c r="X451" i="34"/>
  <c r="Q451" i="34"/>
  <c r="O451" i="34"/>
  <c r="AA451" i="34"/>
  <c r="A438" i="34"/>
  <c r="O438" i="34"/>
  <c r="AA438" i="34"/>
  <c r="P438" i="34"/>
  <c r="X438" i="34"/>
  <c r="Q438" i="34"/>
  <c r="A526" i="34"/>
  <c r="P526" i="34"/>
  <c r="X526" i="34"/>
  <c r="Q526" i="34"/>
  <c r="O526" i="34"/>
  <c r="AA526" i="34"/>
  <c r="A518" i="34"/>
  <c r="P518" i="34"/>
  <c r="X518" i="34"/>
  <c r="Q518" i="34"/>
  <c r="O518" i="34"/>
  <c r="AA518" i="34"/>
  <c r="A510" i="34"/>
  <c r="P510" i="34"/>
  <c r="X510" i="34"/>
  <c r="Q510" i="34"/>
  <c r="O510" i="34"/>
  <c r="AA510" i="34"/>
  <c r="A502" i="34"/>
  <c r="R502" i="34"/>
  <c r="P502" i="34"/>
  <c r="T502" i="34"/>
  <c r="X502" i="34"/>
  <c r="Q502" i="34"/>
  <c r="S502" i="34"/>
  <c r="O502" i="34"/>
  <c r="AA502" i="34"/>
  <c r="A498" i="34"/>
  <c r="P498" i="34"/>
  <c r="X498" i="34"/>
  <c r="Q498" i="34"/>
  <c r="O498" i="34"/>
  <c r="AA498" i="34"/>
  <c r="A490" i="34"/>
  <c r="O490" i="34"/>
  <c r="AA490" i="34"/>
  <c r="P490" i="34"/>
  <c r="X490" i="34"/>
  <c r="Q490" i="34"/>
  <c r="A486" i="34"/>
  <c r="O486" i="34"/>
  <c r="AA486" i="34"/>
  <c r="P486" i="34"/>
  <c r="X486" i="34"/>
  <c r="Q486" i="34"/>
  <c r="A478" i="34"/>
  <c r="O478" i="34"/>
  <c r="AA478" i="34"/>
  <c r="P478" i="34"/>
  <c r="X478" i="34"/>
  <c r="Q478" i="34"/>
  <c r="A474" i="34"/>
  <c r="O474" i="34"/>
  <c r="AA474" i="34"/>
  <c r="P474" i="34"/>
  <c r="X474" i="34"/>
  <c r="Q474" i="34"/>
  <c r="A470" i="34"/>
  <c r="O470" i="34"/>
  <c r="AA470" i="34"/>
  <c r="P470" i="34"/>
  <c r="X470" i="34"/>
  <c r="Q470" i="34"/>
  <c r="A466" i="34"/>
  <c r="O466" i="34"/>
  <c r="AA466" i="34"/>
  <c r="P466" i="34"/>
  <c r="X466" i="34"/>
  <c r="Q466" i="34"/>
  <c r="A460" i="34"/>
  <c r="R460" i="34"/>
  <c r="O460" i="34"/>
  <c r="S460" i="34"/>
  <c r="AA460" i="34"/>
  <c r="P460" i="34"/>
  <c r="T460" i="34"/>
  <c r="X460" i="34"/>
  <c r="Q460" i="34"/>
  <c r="A439" i="34"/>
  <c r="P439" i="34"/>
  <c r="T439" i="34"/>
  <c r="X439" i="34"/>
  <c r="Q439" i="34"/>
  <c r="R439" i="34"/>
  <c r="O439" i="34"/>
  <c r="S439" i="34"/>
  <c r="AA439" i="34"/>
  <c r="A532" i="34"/>
  <c r="P532" i="34"/>
  <c r="X532" i="34"/>
  <c r="Q532" i="34"/>
  <c r="O532" i="34"/>
  <c r="AA532" i="34"/>
  <c r="A528" i="34"/>
  <c r="P528" i="34"/>
  <c r="X528" i="34"/>
  <c r="Q528" i="34"/>
  <c r="O528" i="34"/>
  <c r="AA528" i="34"/>
  <c r="A524" i="34"/>
  <c r="P524" i="34"/>
  <c r="X524" i="34"/>
  <c r="Q524" i="34"/>
  <c r="O524" i="34"/>
  <c r="AA524" i="34"/>
  <c r="A520" i="34"/>
  <c r="P520" i="34"/>
  <c r="X520" i="34"/>
  <c r="Q520" i="34"/>
  <c r="O520" i="34"/>
  <c r="AA520" i="34"/>
  <c r="A516" i="34"/>
  <c r="P516" i="34"/>
  <c r="X516" i="34"/>
  <c r="Q516" i="34"/>
  <c r="O516" i="34"/>
  <c r="AA516" i="34"/>
  <c r="A512" i="34"/>
  <c r="P512" i="34"/>
  <c r="X512" i="34"/>
  <c r="Q512" i="34"/>
  <c r="O512" i="34"/>
  <c r="AA512" i="34"/>
  <c r="A508" i="34"/>
  <c r="O508" i="34"/>
  <c r="AA508" i="34"/>
  <c r="P508" i="34"/>
  <c r="X508" i="34"/>
  <c r="Q508" i="34"/>
  <c r="A504" i="34"/>
  <c r="R504" i="34"/>
  <c r="P504" i="34"/>
  <c r="T504" i="34"/>
  <c r="X504" i="34"/>
  <c r="Q504" i="34"/>
  <c r="S504" i="34"/>
  <c r="O504" i="34"/>
  <c r="AA504" i="34"/>
  <c r="A500" i="34"/>
  <c r="R500" i="34"/>
  <c r="P500" i="34"/>
  <c r="T500" i="34"/>
  <c r="X500" i="34"/>
  <c r="Q500" i="34"/>
  <c r="AA500" i="34"/>
  <c r="O500" i="34"/>
  <c r="S500" i="34"/>
  <c r="A496" i="34"/>
  <c r="P496" i="34"/>
  <c r="X496" i="34"/>
  <c r="Q496" i="34"/>
  <c r="AA496" i="34"/>
  <c r="O496" i="34"/>
  <c r="A492" i="34"/>
  <c r="O492" i="34"/>
  <c r="AA492" i="34"/>
  <c r="P492" i="34"/>
  <c r="X492" i="34"/>
  <c r="Q492" i="34"/>
  <c r="A488" i="34"/>
  <c r="O488" i="34"/>
  <c r="AA488" i="34"/>
  <c r="P488" i="34"/>
  <c r="X488" i="34"/>
  <c r="Q488" i="34"/>
  <c r="A484" i="34"/>
  <c r="O484" i="34"/>
  <c r="AA484" i="34"/>
  <c r="P484" i="34"/>
  <c r="X484" i="34"/>
  <c r="Q484" i="34"/>
  <c r="A480" i="34"/>
  <c r="O480" i="34"/>
  <c r="AA480" i="34"/>
  <c r="P480" i="34"/>
  <c r="X480" i="34"/>
  <c r="Q480" i="34"/>
  <c r="A476" i="34"/>
  <c r="O476" i="34"/>
  <c r="AA476" i="34"/>
  <c r="P476" i="34"/>
  <c r="X476" i="34"/>
  <c r="Q476" i="34"/>
  <c r="A472" i="34"/>
  <c r="O472" i="34"/>
  <c r="AA472" i="34"/>
  <c r="P472" i="34"/>
  <c r="X472" i="34"/>
  <c r="Q472" i="34"/>
  <c r="A468" i="34"/>
  <c r="O468" i="34"/>
  <c r="AA468" i="34"/>
  <c r="P468" i="34"/>
  <c r="X468" i="34"/>
  <c r="Q468" i="34"/>
  <c r="A457" i="34"/>
  <c r="P457" i="34"/>
  <c r="X457" i="34"/>
  <c r="Q457" i="34"/>
  <c r="O457" i="34"/>
  <c r="AA457" i="34"/>
  <c r="A464" i="34"/>
  <c r="R464" i="34"/>
  <c r="O464" i="34"/>
  <c r="S464" i="34"/>
  <c r="AA464" i="34"/>
  <c r="P464" i="34"/>
  <c r="T464" i="34"/>
  <c r="X464" i="34"/>
  <c r="Q464" i="34"/>
  <c r="A450" i="34"/>
  <c r="O450" i="34"/>
  <c r="AA450" i="34"/>
  <c r="P450" i="34"/>
  <c r="X450" i="34"/>
  <c r="Q450" i="34"/>
  <c r="A437" i="34"/>
  <c r="P437" i="34"/>
  <c r="X437" i="34"/>
  <c r="Q437" i="34"/>
  <c r="O437" i="34"/>
  <c r="AA437" i="34"/>
  <c r="A531" i="34"/>
  <c r="R531" i="34"/>
  <c r="O531" i="34"/>
  <c r="S531" i="34"/>
  <c r="AA531" i="34"/>
  <c r="P531" i="34"/>
  <c r="T531" i="34"/>
  <c r="X531" i="34"/>
  <c r="Q531" i="34"/>
  <c r="A527" i="34"/>
  <c r="O527" i="34"/>
  <c r="AA527" i="34"/>
  <c r="P527" i="34"/>
  <c r="X527" i="34"/>
  <c r="Q527" i="34"/>
  <c r="A523" i="34"/>
  <c r="O523" i="34"/>
  <c r="AA523" i="34"/>
  <c r="P523" i="34"/>
  <c r="X523" i="34"/>
  <c r="Q523" i="34"/>
  <c r="A519" i="34"/>
  <c r="O519" i="34"/>
  <c r="AA519" i="34"/>
  <c r="P519" i="34"/>
  <c r="X519" i="34"/>
  <c r="Q519" i="34"/>
  <c r="A515" i="34"/>
  <c r="O515" i="34"/>
  <c r="AA515" i="34"/>
  <c r="P515" i="34"/>
  <c r="X515" i="34"/>
  <c r="Q515" i="34"/>
  <c r="A511" i="34"/>
  <c r="O511" i="34"/>
  <c r="AA511" i="34"/>
  <c r="P511" i="34"/>
  <c r="X511" i="34"/>
  <c r="Q511" i="34"/>
  <c r="A507" i="34"/>
  <c r="P507" i="34"/>
  <c r="X507" i="34"/>
  <c r="O507" i="34"/>
  <c r="Q507" i="34"/>
  <c r="AA507" i="34"/>
  <c r="A503" i="34"/>
  <c r="P503" i="34"/>
  <c r="T503" i="34"/>
  <c r="X503" i="34"/>
  <c r="R503" i="34"/>
  <c r="O503" i="34"/>
  <c r="AA503" i="34"/>
  <c r="Q503" i="34"/>
  <c r="S503" i="34"/>
  <c r="A499" i="34"/>
  <c r="P499" i="34"/>
  <c r="X499" i="34"/>
  <c r="O499" i="34"/>
  <c r="AA499" i="34"/>
  <c r="Q499" i="34"/>
  <c r="A495" i="34"/>
  <c r="P495" i="34"/>
  <c r="X495" i="34"/>
  <c r="Q495" i="34"/>
  <c r="O495" i="34"/>
  <c r="AA495" i="34"/>
  <c r="A491" i="34"/>
  <c r="P491" i="34"/>
  <c r="X491" i="34"/>
  <c r="Q491" i="34"/>
  <c r="O491" i="34"/>
  <c r="AA491" i="34"/>
  <c r="A487" i="34"/>
  <c r="P487" i="34"/>
  <c r="X487" i="34"/>
  <c r="Q487" i="34"/>
  <c r="O487" i="34"/>
  <c r="AA487" i="34"/>
  <c r="A483" i="34"/>
  <c r="P483" i="34"/>
  <c r="X483" i="34"/>
  <c r="Q483" i="34"/>
  <c r="O483" i="34"/>
  <c r="AA483" i="34"/>
  <c r="A479" i="34"/>
  <c r="P479" i="34"/>
  <c r="X479" i="34"/>
  <c r="Q479" i="34"/>
  <c r="O479" i="34"/>
  <c r="AA479" i="34"/>
  <c r="A475" i="34"/>
  <c r="P475" i="34"/>
  <c r="X475" i="34"/>
  <c r="Q475" i="34"/>
  <c r="O475" i="34"/>
  <c r="AA475" i="34"/>
  <c r="A471" i="34"/>
  <c r="P471" i="34"/>
  <c r="X471" i="34"/>
  <c r="Q471" i="34"/>
  <c r="O471" i="34"/>
  <c r="AA471" i="34"/>
  <c r="A467" i="34"/>
  <c r="P467" i="34"/>
  <c r="X467" i="34"/>
  <c r="Q467" i="34"/>
  <c r="O467" i="34"/>
  <c r="AA467" i="34"/>
  <c r="A456" i="34"/>
  <c r="O456" i="34"/>
  <c r="AA456" i="34"/>
  <c r="P456" i="34"/>
  <c r="X456" i="34"/>
  <c r="Q456" i="34"/>
  <c r="A463" i="34"/>
  <c r="P463" i="34"/>
  <c r="T463" i="34"/>
  <c r="X463" i="34"/>
  <c r="Q463" i="34"/>
  <c r="R463" i="34"/>
  <c r="O463" i="34"/>
  <c r="S463" i="34"/>
  <c r="AA463" i="34"/>
  <c r="A449" i="34"/>
  <c r="P449" i="34"/>
  <c r="X449" i="34"/>
  <c r="Q449" i="34"/>
  <c r="O449" i="34"/>
  <c r="AA449" i="34"/>
  <c r="A435" i="34"/>
  <c r="P435" i="34"/>
  <c r="X435" i="34"/>
  <c r="Q435" i="34"/>
  <c r="O435" i="34"/>
  <c r="AA435" i="34"/>
  <c r="K214" i="55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M8" i="73"/>
  <c r="A5" i="70"/>
  <c r="A2" i="73"/>
  <c r="A1" i="73"/>
  <c r="A3" i="68" l="1"/>
  <c r="A2" i="68"/>
  <c r="A2" i="64"/>
  <c r="A1" i="64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98" i="34"/>
  <c r="B197" i="34"/>
  <c r="B196" i="34"/>
  <c r="B194" i="34"/>
  <c r="B193" i="34"/>
  <c r="B192" i="34"/>
  <c r="B191" i="34"/>
  <c r="B190" i="34"/>
  <c r="B189" i="34"/>
  <c r="B188" i="34"/>
  <c r="B322" i="34"/>
  <c r="B319" i="34"/>
  <c r="B225" i="34"/>
  <c r="B224" i="34"/>
  <c r="B216" i="34"/>
  <c r="B215" i="34"/>
  <c r="B183" i="34"/>
  <c r="B245" i="34"/>
  <c r="B244" i="34"/>
  <c r="B167" i="34"/>
  <c r="B166" i="34"/>
  <c r="B165" i="34"/>
  <c r="B162" i="34"/>
  <c r="B153" i="34"/>
  <c r="A25" i="70"/>
  <c r="B150" i="34"/>
  <c r="B154" i="34"/>
  <c r="B159" i="34"/>
  <c r="B160" i="34"/>
  <c r="B161" i="34"/>
  <c r="B163" i="34"/>
  <c r="B164" i="34"/>
  <c r="B168" i="34"/>
  <c r="B169" i="34"/>
  <c r="B170" i="34"/>
  <c r="B171" i="34"/>
  <c r="B181" i="34"/>
  <c r="B182" i="34"/>
  <c r="B320" i="34"/>
  <c r="B321" i="34"/>
  <c r="B195" i="34"/>
  <c r="B199" i="34"/>
  <c r="B200" i="34"/>
  <c r="B201" i="34"/>
  <c r="B202" i="34"/>
  <c r="B203" i="34"/>
  <c r="B205" i="34"/>
  <c r="B206" i="34"/>
  <c r="B207" i="34"/>
  <c r="B208" i="34"/>
  <c r="B209" i="34"/>
  <c r="B210" i="34"/>
  <c r="B211" i="34"/>
  <c r="B212" i="34"/>
  <c r="B213" i="34"/>
  <c r="B214" i="34"/>
  <c r="B217" i="34"/>
  <c r="B218" i="34"/>
  <c r="B219" i="34"/>
  <c r="B220" i="34"/>
  <c r="B221" i="34"/>
  <c r="B222" i="34"/>
  <c r="B223" i="34"/>
  <c r="B231" i="34"/>
  <c r="B232" i="34"/>
  <c r="B236" i="34"/>
  <c r="B237" i="34"/>
  <c r="B238" i="34"/>
  <c r="B246" i="34"/>
  <c r="B247" i="34"/>
  <c r="B252" i="34"/>
  <c r="B253" i="34"/>
  <c r="B254" i="34"/>
  <c r="B255" i="34"/>
  <c r="B256" i="34"/>
  <c r="B257" i="34"/>
  <c r="B258" i="34"/>
  <c r="B271" i="34"/>
  <c r="B272" i="34"/>
  <c r="B273" i="34"/>
  <c r="B274" i="34"/>
  <c r="B330" i="34"/>
  <c r="B331" i="34"/>
  <c r="B335" i="34"/>
  <c r="B336" i="34"/>
  <c r="B341" i="34"/>
  <c r="B342" i="34"/>
  <c r="B226" i="34"/>
  <c r="B227" i="34"/>
  <c r="B228" i="34"/>
  <c r="B229" i="34"/>
  <c r="B230" i="34"/>
  <c r="B239" i="34"/>
  <c r="B240" i="34"/>
  <c r="B241" i="34"/>
  <c r="B242" i="34"/>
  <c r="B262" i="34"/>
  <c r="B263" i="34"/>
  <c r="B264" i="34"/>
  <c r="B265" i="34"/>
  <c r="B266" i="34"/>
  <c r="B267" i="34"/>
  <c r="B268" i="34"/>
  <c r="B269" i="34"/>
  <c r="B270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275" i="34"/>
  <c r="B276" i="34"/>
  <c r="B277" i="34"/>
  <c r="B278" i="34"/>
  <c r="B279" i="34"/>
  <c r="B280" i="34"/>
  <c r="B316" i="34"/>
  <c r="B317" i="34"/>
  <c r="B318" i="34"/>
  <c r="B337" i="34"/>
  <c r="B338" i="34"/>
  <c r="B339" i="34"/>
  <c r="B343" i="34"/>
  <c r="B344" i="34"/>
  <c r="B348" i="34"/>
  <c r="B349" i="34"/>
  <c r="B345" i="34"/>
  <c r="B346" i="34"/>
  <c r="B355" i="34"/>
  <c r="B356" i="34"/>
  <c r="B381" i="34"/>
  <c r="B382" i="34"/>
  <c r="B373" i="34"/>
  <c r="B374" i="34"/>
  <c r="B375" i="34"/>
  <c r="B369" i="34"/>
  <c r="B370" i="34"/>
  <c r="B371" i="34"/>
  <c r="B372" i="34"/>
  <c r="B367" i="34"/>
  <c r="B368" i="34"/>
  <c r="B360" i="34"/>
  <c r="B361" i="34"/>
  <c r="B405" i="34"/>
  <c r="B406" i="34"/>
  <c r="B407" i="34"/>
  <c r="B403" i="34"/>
  <c r="B404" i="34"/>
  <c r="B398" i="34"/>
  <c r="B399" i="34"/>
  <c r="B396" i="34"/>
  <c r="B397" i="34"/>
  <c r="B387" i="34"/>
  <c r="B388" i="34"/>
  <c r="B389" i="34"/>
  <c r="B383" i="34"/>
  <c r="B384" i="34"/>
  <c r="B408" i="34"/>
  <c r="B390" i="34"/>
  <c r="B400" i="34"/>
  <c r="B376" i="34"/>
  <c r="B385" i="34"/>
  <c r="B440" i="34"/>
  <c r="B441" i="34"/>
  <c r="B442" i="34"/>
  <c r="B443" i="34"/>
  <c r="B444" i="34"/>
  <c r="B445" i="34"/>
  <c r="B446" i="34"/>
  <c r="B447" i="34"/>
  <c r="B448" i="34"/>
  <c r="B409" i="34"/>
  <c r="B410" i="34"/>
  <c r="B414" i="34"/>
  <c r="B415" i="34"/>
  <c r="B436" i="34"/>
  <c r="B421" i="34"/>
  <c r="B422" i="34"/>
  <c r="B423" i="34"/>
  <c r="B424" i="34"/>
  <c r="B425" i="34"/>
  <c r="B426" i="34"/>
  <c r="B427" i="34"/>
  <c r="B428" i="34"/>
  <c r="B430" i="34"/>
  <c r="B431" i="34"/>
  <c r="B432" i="34"/>
  <c r="B433" i="34"/>
  <c r="B434" i="34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434" i="34" l="1"/>
  <c r="O434" i="34"/>
  <c r="AA434" i="34"/>
  <c r="P434" i="34"/>
  <c r="X434" i="34"/>
  <c r="Q434" i="34"/>
  <c r="A430" i="34"/>
  <c r="O430" i="34"/>
  <c r="AA430" i="34"/>
  <c r="P430" i="34"/>
  <c r="X430" i="34"/>
  <c r="Q430" i="34"/>
  <c r="A425" i="34"/>
  <c r="P425" i="34"/>
  <c r="X425" i="34"/>
  <c r="Q425" i="34"/>
  <c r="O425" i="34"/>
  <c r="AA425" i="34"/>
  <c r="A421" i="34"/>
  <c r="P421" i="34"/>
  <c r="X421" i="34"/>
  <c r="Q421" i="34"/>
  <c r="O421" i="34"/>
  <c r="AA421" i="34"/>
  <c r="A410" i="34"/>
  <c r="O410" i="34"/>
  <c r="AA410" i="34"/>
  <c r="P410" i="34"/>
  <c r="X410" i="34"/>
  <c r="Q410" i="34"/>
  <c r="A446" i="34"/>
  <c r="O446" i="34"/>
  <c r="AA446" i="34"/>
  <c r="P446" i="34"/>
  <c r="X446" i="34"/>
  <c r="Q446" i="34"/>
  <c r="A442" i="34"/>
  <c r="O442" i="34"/>
  <c r="AA442" i="34"/>
  <c r="P442" i="34"/>
  <c r="X442" i="34"/>
  <c r="Q442" i="34"/>
  <c r="A376" i="34"/>
  <c r="Q376" i="34"/>
  <c r="O376" i="34"/>
  <c r="AA376" i="34"/>
  <c r="P376" i="34"/>
  <c r="X376" i="34"/>
  <c r="A384" i="34"/>
  <c r="Q384" i="34"/>
  <c r="O384" i="34"/>
  <c r="AA384" i="34"/>
  <c r="P384" i="34"/>
  <c r="X384" i="34"/>
  <c r="A387" i="34"/>
  <c r="O387" i="34"/>
  <c r="AA387" i="34"/>
  <c r="P387" i="34"/>
  <c r="X387" i="34"/>
  <c r="Q387" i="34"/>
  <c r="A398" i="34"/>
  <c r="O398" i="34"/>
  <c r="AA398" i="34"/>
  <c r="P398" i="34"/>
  <c r="X398" i="34"/>
  <c r="Q398" i="34"/>
  <c r="A406" i="34"/>
  <c r="O406" i="34"/>
  <c r="AA406" i="34"/>
  <c r="P406" i="34"/>
  <c r="X406" i="34"/>
  <c r="Q406" i="34"/>
  <c r="A368" i="34"/>
  <c r="Q368" i="34"/>
  <c r="O368" i="34"/>
  <c r="AA368" i="34"/>
  <c r="P368" i="34"/>
  <c r="X368" i="34"/>
  <c r="A370" i="34"/>
  <c r="Q370" i="34"/>
  <c r="O370" i="34"/>
  <c r="AA370" i="34"/>
  <c r="P370" i="34"/>
  <c r="X370" i="34"/>
  <c r="A373" i="34"/>
  <c r="O373" i="34"/>
  <c r="AA373" i="34"/>
  <c r="P373" i="34"/>
  <c r="X373" i="34"/>
  <c r="Q373" i="34"/>
  <c r="A355" i="34"/>
  <c r="O355" i="34"/>
  <c r="AA355" i="34"/>
  <c r="P355" i="34"/>
  <c r="X355" i="34"/>
  <c r="Q355" i="34"/>
  <c r="A348" i="34"/>
  <c r="Q348" i="34"/>
  <c r="O348" i="34"/>
  <c r="AA348" i="34"/>
  <c r="P348" i="34"/>
  <c r="X348" i="34"/>
  <c r="A338" i="34"/>
  <c r="Q338" i="34"/>
  <c r="O338" i="34"/>
  <c r="AA338" i="34"/>
  <c r="P338" i="34"/>
  <c r="X338" i="34"/>
  <c r="A316" i="34"/>
  <c r="Q316" i="34"/>
  <c r="O316" i="34"/>
  <c r="AA316" i="34"/>
  <c r="P316" i="34"/>
  <c r="X316" i="34"/>
  <c r="A277" i="34"/>
  <c r="Q277" i="34"/>
  <c r="O277" i="34"/>
  <c r="AA277" i="34"/>
  <c r="X277" i="34"/>
  <c r="P277" i="34"/>
  <c r="A314" i="34"/>
  <c r="Q314" i="34"/>
  <c r="O314" i="34"/>
  <c r="AA314" i="34"/>
  <c r="P314" i="34"/>
  <c r="X314" i="34"/>
  <c r="A310" i="34"/>
  <c r="Q310" i="34"/>
  <c r="O310" i="34"/>
  <c r="AA310" i="34"/>
  <c r="P310" i="34"/>
  <c r="X310" i="34"/>
  <c r="A306" i="34"/>
  <c r="Q306" i="34"/>
  <c r="O306" i="34"/>
  <c r="AA306" i="34"/>
  <c r="P306" i="34"/>
  <c r="X306" i="34"/>
  <c r="A302" i="34"/>
  <c r="Q302" i="34"/>
  <c r="O302" i="34"/>
  <c r="AA302" i="34"/>
  <c r="P302" i="34"/>
  <c r="X302" i="34"/>
  <c r="A298" i="34"/>
  <c r="Q298" i="34"/>
  <c r="O298" i="34"/>
  <c r="AA298" i="34"/>
  <c r="P298" i="34"/>
  <c r="X298" i="34"/>
  <c r="A294" i="34"/>
  <c r="Q294" i="34"/>
  <c r="O294" i="34"/>
  <c r="AA294" i="34"/>
  <c r="P294" i="34"/>
  <c r="X294" i="34"/>
  <c r="A290" i="34"/>
  <c r="Q290" i="34"/>
  <c r="R290" i="34"/>
  <c r="O290" i="34"/>
  <c r="S290" i="34"/>
  <c r="AA290" i="34"/>
  <c r="P290" i="34"/>
  <c r="T290" i="34"/>
  <c r="X290" i="34"/>
  <c r="A286" i="34"/>
  <c r="Q286" i="34"/>
  <c r="O286" i="34"/>
  <c r="AA286" i="34"/>
  <c r="P286" i="34"/>
  <c r="X286" i="34"/>
  <c r="A282" i="34"/>
  <c r="O282" i="34"/>
  <c r="AA282" i="34"/>
  <c r="P282" i="34"/>
  <c r="X282" i="34"/>
  <c r="Q282" i="34"/>
  <c r="A267" i="34"/>
  <c r="P267" i="34"/>
  <c r="X267" i="34"/>
  <c r="Q267" i="34"/>
  <c r="O267" i="34"/>
  <c r="AA267" i="34"/>
  <c r="A263" i="34"/>
  <c r="P263" i="34"/>
  <c r="X263" i="34"/>
  <c r="Q263" i="34"/>
  <c r="O263" i="34"/>
  <c r="AA263" i="34"/>
  <c r="A240" i="34"/>
  <c r="O240" i="34"/>
  <c r="AA240" i="34"/>
  <c r="P240" i="34"/>
  <c r="X240" i="34"/>
  <c r="Q240" i="34"/>
  <c r="A228" i="34"/>
  <c r="O228" i="34"/>
  <c r="AA228" i="34"/>
  <c r="P228" i="34"/>
  <c r="X228" i="34"/>
  <c r="Q228" i="34"/>
  <c r="A341" i="34"/>
  <c r="O341" i="34"/>
  <c r="AA341" i="34"/>
  <c r="P341" i="34"/>
  <c r="X341" i="34"/>
  <c r="Q341" i="34"/>
  <c r="A330" i="34"/>
  <c r="Q330" i="34"/>
  <c r="O330" i="34"/>
  <c r="AA330" i="34"/>
  <c r="P330" i="34"/>
  <c r="X330" i="34"/>
  <c r="A271" i="34"/>
  <c r="Q271" i="34"/>
  <c r="O271" i="34"/>
  <c r="AA271" i="34"/>
  <c r="X271" i="34"/>
  <c r="P271" i="34"/>
  <c r="A255" i="34"/>
  <c r="P255" i="34"/>
  <c r="X255" i="34"/>
  <c r="Q255" i="34"/>
  <c r="O255" i="34"/>
  <c r="AA255" i="34"/>
  <c r="A247" i="34"/>
  <c r="P247" i="34"/>
  <c r="T247" i="34"/>
  <c r="X247" i="34"/>
  <c r="Q247" i="34"/>
  <c r="R247" i="34"/>
  <c r="O247" i="34"/>
  <c r="S247" i="34"/>
  <c r="AA247" i="34"/>
  <c r="A236" i="34"/>
  <c r="O236" i="34"/>
  <c r="AA236" i="34"/>
  <c r="P236" i="34"/>
  <c r="X236" i="34"/>
  <c r="Q236" i="34"/>
  <c r="A222" i="34"/>
  <c r="R222" i="34"/>
  <c r="O222" i="34"/>
  <c r="S222" i="34"/>
  <c r="AA222" i="34"/>
  <c r="P222" i="34"/>
  <c r="T222" i="34"/>
  <c r="X222" i="34"/>
  <c r="Q222" i="34"/>
  <c r="A218" i="34"/>
  <c r="O218" i="34"/>
  <c r="AA218" i="34"/>
  <c r="Q218" i="34"/>
  <c r="P218" i="34"/>
  <c r="X218" i="34"/>
  <c r="A212" i="34"/>
  <c r="O212" i="34"/>
  <c r="AA212" i="34"/>
  <c r="Q212" i="34"/>
  <c r="X212" i="34"/>
  <c r="P212" i="34"/>
  <c r="A208" i="34"/>
  <c r="O208" i="34"/>
  <c r="AA208" i="34"/>
  <c r="P208" i="34"/>
  <c r="Q208" i="34"/>
  <c r="X208" i="34"/>
  <c r="A203" i="34"/>
  <c r="P203" i="34"/>
  <c r="X203" i="34"/>
  <c r="Q203" i="34"/>
  <c r="O203" i="34"/>
  <c r="AA203" i="34"/>
  <c r="A199" i="34"/>
  <c r="P199" i="34"/>
  <c r="X199" i="34"/>
  <c r="Q199" i="34"/>
  <c r="O199" i="34"/>
  <c r="AA199" i="34"/>
  <c r="A182" i="34"/>
  <c r="R182" i="34"/>
  <c r="O182" i="34"/>
  <c r="S182" i="34"/>
  <c r="AA182" i="34"/>
  <c r="P182" i="34"/>
  <c r="T182" i="34"/>
  <c r="X182" i="34"/>
  <c r="Q182" i="34"/>
  <c r="A169" i="34"/>
  <c r="P169" i="34"/>
  <c r="X169" i="34"/>
  <c r="Q169" i="34"/>
  <c r="O169" i="34"/>
  <c r="AA169" i="34"/>
  <c r="A161" i="34"/>
  <c r="O161" i="34"/>
  <c r="AA161" i="34"/>
  <c r="P161" i="34"/>
  <c r="X161" i="34"/>
  <c r="Q161" i="34"/>
  <c r="A150" i="34"/>
  <c r="Q150" i="34"/>
  <c r="O150" i="34"/>
  <c r="AA150" i="34"/>
  <c r="P150" i="34"/>
  <c r="X150" i="34"/>
  <c r="A165" i="34"/>
  <c r="P165" i="34"/>
  <c r="X165" i="34"/>
  <c r="Q165" i="34"/>
  <c r="O165" i="34"/>
  <c r="AA165" i="34"/>
  <c r="A245" i="34"/>
  <c r="P245" i="34"/>
  <c r="T245" i="34"/>
  <c r="X245" i="34"/>
  <c r="Q245" i="34"/>
  <c r="R245" i="34"/>
  <c r="O245" i="34"/>
  <c r="S245" i="34"/>
  <c r="AA245" i="34"/>
  <c r="A224" i="34"/>
  <c r="O224" i="34"/>
  <c r="AA224" i="34"/>
  <c r="P224" i="34"/>
  <c r="X224" i="34"/>
  <c r="Q224" i="34"/>
  <c r="A188" i="34"/>
  <c r="O188" i="34"/>
  <c r="AA188" i="34"/>
  <c r="P188" i="34"/>
  <c r="X188" i="34"/>
  <c r="Q188" i="34"/>
  <c r="A192" i="34"/>
  <c r="O192" i="34"/>
  <c r="AA192" i="34"/>
  <c r="P192" i="34"/>
  <c r="X192" i="34"/>
  <c r="Q192" i="34"/>
  <c r="A197" i="34"/>
  <c r="P197" i="34"/>
  <c r="X197" i="34"/>
  <c r="Q197" i="34"/>
  <c r="O197" i="34"/>
  <c r="AA197" i="34"/>
  <c r="A433" i="34"/>
  <c r="P433" i="34"/>
  <c r="X433" i="34"/>
  <c r="Q433" i="34"/>
  <c r="O433" i="34"/>
  <c r="AA433" i="34"/>
  <c r="A428" i="34"/>
  <c r="O428" i="34"/>
  <c r="AA428" i="34"/>
  <c r="P428" i="34"/>
  <c r="X428" i="34"/>
  <c r="Q428" i="34"/>
  <c r="A424" i="34"/>
  <c r="O424" i="34"/>
  <c r="AA424" i="34"/>
  <c r="P424" i="34"/>
  <c r="X424" i="34"/>
  <c r="Q424" i="34"/>
  <c r="A436" i="34"/>
  <c r="O436" i="34"/>
  <c r="AA436" i="34"/>
  <c r="P436" i="34"/>
  <c r="X436" i="34"/>
  <c r="Q436" i="34"/>
  <c r="A409" i="34"/>
  <c r="P409" i="34"/>
  <c r="X409" i="34"/>
  <c r="Q409" i="34"/>
  <c r="O409" i="34"/>
  <c r="AA409" i="34"/>
  <c r="A445" i="34"/>
  <c r="P445" i="34"/>
  <c r="X445" i="34"/>
  <c r="Q445" i="34"/>
  <c r="O445" i="34"/>
  <c r="AA445" i="34"/>
  <c r="A441" i="34"/>
  <c r="P441" i="34"/>
  <c r="X441" i="34"/>
  <c r="Q441" i="34"/>
  <c r="O441" i="34"/>
  <c r="AA441" i="34"/>
  <c r="A400" i="34"/>
  <c r="O400" i="34"/>
  <c r="AA400" i="34"/>
  <c r="P400" i="34"/>
  <c r="X400" i="34"/>
  <c r="Q400" i="34"/>
  <c r="A383" i="34"/>
  <c r="O383" i="34"/>
  <c r="AA383" i="34"/>
  <c r="P383" i="34"/>
  <c r="X383" i="34"/>
  <c r="Q383" i="34"/>
  <c r="A397" i="34"/>
  <c r="P397" i="34"/>
  <c r="X397" i="34"/>
  <c r="Q397" i="34"/>
  <c r="O397" i="34"/>
  <c r="AA397" i="34"/>
  <c r="A404" i="34"/>
  <c r="O404" i="34"/>
  <c r="AA404" i="34"/>
  <c r="P404" i="34"/>
  <c r="X404" i="34"/>
  <c r="Q404" i="34"/>
  <c r="A405" i="34"/>
  <c r="P405" i="34"/>
  <c r="X405" i="34"/>
  <c r="Q405" i="34"/>
  <c r="O405" i="34"/>
  <c r="AA405" i="34"/>
  <c r="A367" i="34"/>
  <c r="O367" i="34"/>
  <c r="AA367" i="34"/>
  <c r="P367" i="34"/>
  <c r="X367" i="34"/>
  <c r="Q367" i="34"/>
  <c r="A369" i="34"/>
  <c r="O369" i="34"/>
  <c r="AA369" i="34"/>
  <c r="P369" i="34"/>
  <c r="X369" i="34"/>
  <c r="Q369" i="34"/>
  <c r="A382" i="34"/>
  <c r="Q382" i="34"/>
  <c r="O382" i="34"/>
  <c r="AA382" i="34"/>
  <c r="P382" i="34"/>
  <c r="X382" i="34"/>
  <c r="A346" i="34"/>
  <c r="Q346" i="34"/>
  <c r="R346" i="34"/>
  <c r="O346" i="34"/>
  <c r="S346" i="34"/>
  <c r="AA346" i="34"/>
  <c r="P346" i="34"/>
  <c r="T346" i="34"/>
  <c r="X346" i="34"/>
  <c r="A344" i="34"/>
  <c r="Q344" i="34"/>
  <c r="R344" i="34"/>
  <c r="O344" i="34"/>
  <c r="S344" i="34"/>
  <c r="AA344" i="34"/>
  <c r="P344" i="34"/>
  <c r="T344" i="34"/>
  <c r="X344" i="34"/>
  <c r="A337" i="34"/>
  <c r="O337" i="34"/>
  <c r="AA337" i="34"/>
  <c r="P337" i="34"/>
  <c r="X337" i="34"/>
  <c r="Q337" i="34"/>
  <c r="A280" i="34"/>
  <c r="O280" i="34"/>
  <c r="AA280" i="34"/>
  <c r="P280" i="34"/>
  <c r="X280" i="34"/>
  <c r="Q280" i="34"/>
  <c r="A276" i="34"/>
  <c r="O276" i="34"/>
  <c r="AA276" i="34"/>
  <c r="P276" i="34"/>
  <c r="X276" i="34"/>
  <c r="Q276" i="34"/>
  <c r="A313" i="34"/>
  <c r="O313" i="34"/>
  <c r="AA313" i="34"/>
  <c r="P313" i="34"/>
  <c r="X313" i="34"/>
  <c r="Q313" i="34"/>
  <c r="A309" i="34"/>
  <c r="O309" i="34"/>
  <c r="AA309" i="34"/>
  <c r="P309" i="34"/>
  <c r="X309" i="34"/>
  <c r="Q309" i="34"/>
  <c r="A305" i="34"/>
  <c r="O305" i="34"/>
  <c r="AA305" i="34"/>
  <c r="P305" i="34"/>
  <c r="X305" i="34"/>
  <c r="Q305" i="34"/>
  <c r="A301" i="34"/>
  <c r="O301" i="34"/>
  <c r="AA301" i="34"/>
  <c r="P301" i="34"/>
  <c r="X301" i="34"/>
  <c r="Q301" i="34"/>
  <c r="A297" i="34"/>
  <c r="O297" i="34"/>
  <c r="AA297" i="34"/>
  <c r="P297" i="34"/>
  <c r="X297" i="34"/>
  <c r="Q297" i="34"/>
  <c r="A293" i="34"/>
  <c r="O293" i="34"/>
  <c r="AA293" i="34"/>
  <c r="P293" i="34"/>
  <c r="X293" i="34"/>
  <c r="Q293" i="34"/>
  <c r="A289" i="34"/>
  <c r="O289" i="34"/>
  <c r="AA289" i="34"/>
  <c r="P289" i="34"/>
  <c r="X289" i="34"/>
  <c r="Q289" i="34"/>
  <c r="A285" i="34"/>
  <c r="O285" i="34"/>
  <c r="AA285" i="34"/>
  <c r="P285" i="34"/>
  <c r="X285" i="34"/>
  <c r="Q285" i="34"/>
  <c r="A270" i="34"/>
  <c r="O270" i="34"/>
  <c r="AA270" i="34"/>
  <c r="P270" i="34"/>
  <c r="X270" i="34"/>
  <c r="Q270" i="34"/>
  <c r="A266" i="34"/>
  <c r="O266" i="34"/>
  <c r="AA266" i="34"/>
  <c r="P266" i="34"/>
  <c r="X266" i="34"/>
  <c r="Q266" i="34"/>
  <c r="A262" i="34"/>
  <c r="O262" i="34"/>
  <c r="AA262" i="34"/>
  <c r="P262" i="34"/>
  <c r="X262" i="34"/>
  <c r="Q262" i="34"/>
  <c r="A239" i="34"/>
  <c r="P239" i="34"/>
  <c r="X239" i="34"/>
  <c r="Q239" i="34"/>
  <c r="O239" i="34"/>
  <c r="AA239" i="34"/>
  <c r="A227" i="34"/>
  <c r="P227" i="34"/>
  <c r="T227" i="34"/>
  <c r="X227" i="34"/>
  <c r="Q227" i="34"/>
  <c r="R227" i="34"/>
  <c r="O227" i="34"/>
  <c r="S227" i="34"/>
  <c r="AA227" i="34"/>
  <c r="A336" i="34"/>
  <c r="Q336" i="34"/>
  <c r="O336" i="34"/>
  <c r="AA336" i="34"/>
  <c r="P336" i="34"/>
  <c r="X336" i="34"/>
  <c r="A274" i="34"/>
  <c r="O274" i="34"/>
  <c r="AA274" i="34"/>
  <c r="P274" i="34"/>
  <c r="X274" i="34"/>
  <c r="Q274" i="34"/>
  <c r="A258" i="34"/>
  <c r="O258" i="34"/>
  <c r="AA258" i="34"/>
  <c r="P258" i="34"/>
  <c r="X258" i="34"/>
  <c r="Q258" i="34"/>
  <c r="A254" i="34"/>
  <c r="R254" i="34"/>
  <c r="O254" i="34"/>
  <c r="S254" i="34"/>
  <c r="AA254" i="34"/>
  <c r="P254" i="34"/>
  <c r="T254" i="34"/>
  <c r="X254" i="34"/>
  <c r="Q254" i="34"/>
  <c r="A246" i="34"/>
  <c r="R246" i="34"/>
  <c r="O246" i="34"/>
  <c r="S246" i="34"/>
  <c r="AA246" i="34"/>
  <c r="P246" i="34"/>
  <c r="T246" i="34"/>
  <c r="X246" i="34"/>
  <c r="Q246" i="34"/>
  <c r="A232" i="34"/>
  <c r="O232" i="34"/>
  <c r="AA232" i="34"/>
  <c r="P232" i="34"/>
  <c r="X232" i="34"/>
  <c r="Q232" i="34"/>
  <c r="A221" i="34"/>
  <c r="Q221" i="34"/>
  <c r="O221" i="34"/>
  <c r="X221" i="34"/>
  <c r="P221" i="34"/>
  <c r="AA221" i="34"/>
  <c r="A217" i="34"/>
  <c r="Q217" i="34"/>
  <c r="AA217" i="34"/>
  <c r="O217" i="34"/>
  <c r="X217" i="34"/>
  <c r="P217" i="34"/>
  <c r="A211" i="34"/>
  <c r="P211" i="34"/>
  <c r="X211" i="34"/>
  <c r="Q211" i="34"/>
  <c r="O211" i="34"/>
  <c r="AA211" i="34"/>
  <c r="A207" i="34"/>
  <c r="P207" i="34"/>
  <c r="X207" i="34"/>
  <c r="Q207" i="34"/>
  <c r="O207" i="34"/>
  <c r="AA207" i="34"/>
  <c r="A202" i="34"/>
  <c r="O202" i="34"/>
  <c r="AA202" i="34"/>
  <c r="P202" i="34"/>
  <c r="X202" i="34"/>
  <c r="Q202" i="34"/>
  <c r="A195" i="34"/>
  <c r="P195" i="34"/>
  <c r="X195" i="34"/>
  <c r="Q195" i="34"/>
  <c r="O195" i="34"/>
  <c r="AA195" i="34"/>
  <c r="A181" i="34"/>
  <c r="P181" i="34"/>
  <c r="T181" i="34"/>
  <c r="X181" i="34"/>
  <c r="Q181" i="34"/>
  <c r="R181" i="34"/>
  <c r="O181" i="34"/>
  <c r="S181" i="34"/>
  <c r="AA181" i="34"/>
  <c r="A168" i="34"/>
  <c r="O168" i="34"/>
  <c r="AA168" i="34"/>
  <c r="P168" i="34"/>
  <c r="X168" i="34"/>
  <c r="Q168" i="34"/>
  <c r="A160" i="34"/>
  <c r="Q160" i="34"/>
  <c r="P160" i="34"/>
  <c r="X160" i="34"/>
  <c r="AA160" i="34"/>
  <c r="O160" i="34"/>
  <c r="A166" i="34"/>
  <c r="O166" i="34"/>
  <c r="AA166" i="34"/>
  <c r="P166" i="34"/>
  <c r="X166" i="34"/>
  <c r="Q166" i="34"/>
  <c r="A183" i="34"/>
  <c r="P183" i="34"/>
  <c r="X183" i="34"/>
  <c r="Q183" i="34"/>
  <c r="O183" i="34"/>
  <c r="AA183" i="34"/>
  <c r="A225" i="34"/>
  <c r="P225" i="34"/>
  <c r="X225" i="34"/>
  <c r="Q225" i="34"/>
  <c r="O225" i="34"/>
  <c r="AA225" i="34"/>
  <c r="A189" i="34"/>
  <c r="P189" i="34"/>
  <c r="T189" i="34"/>
  <c r="X189" i="34"/>
  <c r="Q189" i="34"/>
  <c r="R189" i="34"/>
  <c r="O189" i="34"/>
  <c r="S189" i="34"/>
  <c r="AA189" i="34"/>
  <c r="A193" i="34"/>
  <c r="P193" i="34"/>
  <c r="X193" i="34"/>
  <c r="Q193" i="34"/>
  <c r="O193" i="34"/>
  <c r="AA193" i="34"/>
  <c r="A198" i="34"/>
  <c r="O198" i="34"/>
  <c r="AA198" i="34"/>
  <c r="P198" i="34"/>
  <c r="X198" i="34"/>
  <c r="Q198" i="34"/>
  <c r="A432" i="34"/>
  <c r="O432" i="34"/>
  <c r="AA432" i="34"/>
  <c r="P432" i="34"/>
  <c r="X432" i="34"/>
  <c r="Q432" i="34"/>
  <c r="A427" i="34"/>
  <c r="P427" i="34"/>
  <c r="X427" i="34"/>
  <c r="Q427" i="34"/>
  <c r="O427" i="34"/>
  <c r="AA427" i="34"/>
  <c r="A423" i="34"/>
  <c r="P423" i="34"/>
  <c r="X423" i="34"/>
  <c r="Q423" i="34"/>
  <c r="O423" i="34"/>
  <c r="AA423" i="34"/>
  <c r="A415" i="34"/>
  <c r="P415" i="34"/>
  <c r="X415" i="34"/>
  <c r="Q415" i="34"/>
  <c r="O415" i="34"/>
  <c r="AA415" i="34"/>
  <c r="A448" i="34"/>
  <c r="O448" i="34"/>
  <c r="AA448" i="34"/>
  <c r="P448" i="34"/>
  <c r="X448" i="34"/>
  <c r="Q448" i="34"/>
  <c r="A444" i="34"/>
  <c r="O444" i="34"/>
  <c r="AA444" i="34"/>
  <c r="P444" i="34"/>
  <c r="X444" i="34"/>
  <c r="Q444" i="34"/>
  <c r="A440" i="34"/>
  <c r="R440" i="34"/>
  <c r="O440" i="34"/>
  <c r="S440" i="34"/>
  <c r="AA440" i="34"/>
  <c r="P440" i="34"/>
  <c r="T440" i="34"/>
  <c r="X440" i="34"/>
  <c r="Q440" i="34"/>
  <c r="A390" i="34"/>
  <c r="Q390" i="34"/>
  <c r="O390" i="34"/>
  <c r="AA390" i="34"/>
  <c r="P390" i="34"/>
  <c r="X390" i="34"/>
  <c r="A389" i="34"/>
  <c r="O389" i="34"/>
  <c r="AA389" i="34"/>
  <c r="P389" i="34"/>
  <c r="X389" i="34"/>
  <c r="Q389" i="34"/>
  <c r="A396" i="34"/>
  <c r="O396" i="34"/>
  <c r="AA396" i="34"/>
  <c r="P396" i="34"/>
  <c r="X396" i="34"/>
  <c r="Q396" i="34"/>
  <c r="A403" i="34"/>
  <c r="P403" i="34"/>
  <c r="X403" i="34"/>
  <c r="Q403" i="34"/>
  <c r="O403" i="34"/>
  <c r="AA403" i="34"/>
  <c r="A361" i="34"/>
  <c r="O361" i="34"/>
  <c r="S361" i="34"/>
  <c r="AA361" i="34"/>
  <c r="P361" i="34"/>
  <c r="T361" i="34"/>
  <c r="X361" i="34"/>
  <c r="Q361" i="34"/>
  <c r="R361" i="34"/>
  <c r="A372" i="34"/>
  <c r="Q372" i="34"/>
  <c r="O372" i="34"/>
  <c r="AA372" i="34"/>
  <c r="P372" i="34"/>
  <c r="X372" i="34"/>
  <c r="A375" i="34"/>
  <c r="O375" i="34"/>
  <c r="AA375" i="34"/>
  <c r="P375" i="34"/>
  <c r="X375" i="34"/>
  <c r="Q375" i="34"/>
  <c r="A381" i="34"/>
  <c r="O381" i="34"/>
  <c r="AA381" i="34"/>
  <c r="P381" i="34"/>
  <c r="X381" i="34"/>
  <c r="Q381" i="34"/>
  <c r="A345" i="34"/>
  <c r="O345" i="34"/>
  <c r="S345" i="34"/>
  <c r="AA345" i="34"/>
  <c r="P345" i="34"/>
  <c r="T345" i="34"/>
  <c r="X345" i="34"/>
  <c r="Q345" i="34"/>
  <c r="R345" i="34"/>
  <c r="A343" i="34"/>
  <c r="O343" i="34"/>
  <c r="S343" i="34"/>
  <c r="AA343" i="34"/>
  <c r="P343" i="34"/>
  <c r="T343" i="34"/>
  <c r="X343" i="34"/>
  <c r="Q343" i="34"/>
  <c r="R343" i="34"/>
  <c r="A318" i="34"/>
  <c r="Q318" i="34"/>
  <c r="O318" i="34"/>
  <c r="AA318" i="34"/>
  <c r="P318" i="34"/>
  <c r="X318" i="34"/>
  <c r="A279" i="34"/>
  <c r="Q279" i="34"/>
  <c r="O279" i="34"/>
  <c r="AA279" i="34"/>
  <c r="X279" i="34"/>
  <c r="P279" i="34"/>
  <c r="A275" i="34"/>
  <c r="Q275" i="34"/>
  <c r="O275" i="34"/>
  <c r="AA275" i="34"/>
  <c r="X275" i="34"/>
  <c r="P275" i="34"/>
  <c r="A312" i="34"/>
  <c r="Q312" i="34"/>
  <c r="O312" i="34"/>
  <c r="AA312" i="34"/>
  <c r="P312" i="34"/>
  <c r="X312" i="34"/>
  <c r="A308" i="34"/>
  <c r="Q308" i="34"/>
  <c r="O308" i="34"/>
  <c r="AA308" i="34"/>
  <c r="P308" i="34"/>
  <c r="X308" i="34"/>
  <c r="A304" i="34"/>
  <c r="Q304" i="34"/>
  <c r="O304" i="34"/>
  <c r="AA304" i="34"/>
  <c r="P304" i="34"/>
  <c r="X304" i="34"/>
  <c r="A300" i="34"/>
  <c r="Q300" i="34"/>
  <c r="O300" i="34"/>
  <c r="AA300" i="34"/>
  <c r="P300" i="34"/>
  <c r="X300" i="34"/>
  <c r="A296" i="34"/>
  <c r="Q296" i="34"/>
  <c r="O296" i="34"/>
  <c r="AA296" i="34"/>
  <c r="P296" i="34"/>
  <c r="X296" i="34"/>
  <c r="A292" i="34"/>
  <c r="Q292" i="34"/>
  <c r="O292" i="34"/>
  <c r="AA292" i="34"/>
  <c r="P292" i="34"/>
  <c r="X292" i="34"/>
  <c r="A288" i="34"/>
  <c r="Q288" i="34"/>
  <c r="O288" i="34"/>
  <c r="AA288" i="34"/>
  <c r="P288" i="34"/>
  <c r="X288" i="34"/>
  <c r="A284" i="34"/>
  <c r="Q284" i="34"/>
  <c r="P284" i="34"/>
  <c r="AA284" i="34"/>
  <c r="O284" i="34"/>
  <c r="X284" i="34"/>
  <c r="A269" i="34"/>
  <c r="P269" i="34"/>
  <c r="Q269" i="34"/>
  <c r="O269" i="34"/>
  <c r="AA269" i="34"/>
  <c r="X269" i="34"/>
  <c r="A265" i="34"/>
  <c r="P265" i="34"/>
  <c r="X265" i="34"/>
  <c r="Q265" i="34"/>
  <c r="O265" i="34"/>
  <c r="AA265" i="34"/>
  <c r="A242" i="34"/>
  <c r="O242" i="34"/>
  <c r="AA242" i="34"/>
  <c r="P242" i="34"/>
  <c r="X242" i="34"/>
  <c r="Q242" i="34"/>
  <c r="A230" i="34"/>
  <c r="O230" i="34"/>
  <c r="AA230" i="34"/>
  <c r="P230" i="34"/>
  <c r="X230" i="34"/>
  <c r="Q230" i="34"/>
  <c r="A226" i="34"/>
  <c r="O226" i="34"/>
  <c r="AA226" i="34"/>
  <c r="P226" i="34"/>
  <c r="X226" i="34"/>
  <c r="Q226" i="34"/>
  <c r="A335" i="34"/>
  <c r="O335" i="34"/>
  <c r="AA335" i="34"/>
  <c r="P335" i="34"/>
  <c r="X335" i="34"/>
  <c r="Q335" i="34"/>
  <c r="A273" i="34"/>
  <c r="Q273" i="34"/>
  <c r="O273" i="34"/>
  <c r="AA273" i="34"/>
  <c r="X273" i="34"/>
  <c r="P273" i="34"/>
  <c r="A257" i="34"/>
  <c r="P257" i="34"/>
  <c r="X257" i="34"/>
  <c r="Q257" i="34"/>
  <c r="O257" i="34"/>
  <c r="AA257" i="34"/>
  <c r="A253" i="34"/>
  <c r="P253" i="34"/>
  <c r="T253" i="34"/>
  <c r="X253" i="34"/>
  <c r="Q253" i="34"/>
  <c r="R253" i="34"/>
  <c r="O253" i="34"/>
  <c r="S253" i="34"/>
  <c r="AA253" i="34"/>
  <c r="A238" i="34"/>
  <c r="O238" i="34"/>
  <c r="AA238" i="34"/>
  <c r="P238" i="34"/>
  <c r="X238" i="34"/>
  <c r="Q238" i="34"/>
  <c r="A231" i="34"/>
  <c r="P231" i="34"/>
  <c r="X231" i="34"/>
  <c r="Q231" i="34"/>
  <c r="O231" i="34"/>
  <c r="AA231" i="34"/>
  <c r="A220" i="34"/>
  <c r="O220" i="34"/>
  <c r="AA220" i="34"/>
  <c r="P220" i="34"/>
  <c r="X220" i="34"/>
  <c r="Q220" i="34"/>
  <c r="A214" i="34"/>
  <c r="O214" i="34"/>
  <c r="AA214" i="34"/>
  <c r="P214" i="34"/>
  <c r="X214" i="34"/>
  <c r="Q214" i="34"/>
  <c r="A210" i="34"/>
  <c r="O210" i="34"/>
  <c r="AA210" i="34"/>
  <c r="Q210" i="34"/>
  <c r="X210" i="34"/>
  <c r="P210" i="34"/>
  <c r="A206" i="34"/>
  <c r="O206" i="34"/>
  <c r="AA206" i="34"/>
  <c r="P206" i="34"/>
  <c r="X206" i="34"/>
  <c r="Q206" i="34"/>
  <c r="A201" i="34"/>
  <c r="P201" i="34"/>
  <c r="X201" i="34"/>
  <c r="Q201" i="34"/>
  <c r="O201" i="34"/>
  <c r="AA201" i="34"/>
  <c r="A321" i="34"/>
  <c r="O321" i="34"/>
  <c r="AA321" i="34"/>
  <c r="P321" i="34"/>
  <c r="X321" i="34"/>
  <c r="Q321" i="34"/>
  <c r="A171" i="34"/>
  <c r="P171" i="34"/>
  <c r="X171" i="34"/>
  <c r="Q171" i="34"/>
  <c r="O171" i="34"/>
  <c r="AA171" i="34"/>
  <c r="A164" i="34"/>
  <c r="P164" i="34"/>
  <c r="X164" i="34"/>
  <c r="Q164" i="34"/>
  <c r="AA164" i="34"/>
  <c r="O164" i="34"/>
  <c r="A159" i="34"/>
  <c r="O159" i="34"/>
  <c r="AA159" i="34"/>
  <c r="Q159" i="34"/>
  <c r="P159" i="34"/>
  <c r="X159" i="34"/>
  <c r="A153" i="34"/>
  <c r="O153" i="34"/>
  <c r="AA153" i="34"/>
  <c r="P153" i="34"/>
  <c r="X153" i="34"/>
  <c r="Q153" i="34"/>
  <c r="A167" i="34"/>
  <c r="P167" i="34"/>
  <c r="X167" i="34"/>
  <c r="Q167" i="34"/>
  <c r="O167" i="34"/>
  <c r="AA167" i="34"/>
  <c r="A215" i="34"/>
  <c r="Q215" i="34"/>
  <c r="AA215" i="34"/>
  <c r="O215" i="34"/>
  <c r="X215" i="34"/>
  <c r="P215" i="34"/>
  <c r="A319" i="34"/>
  <c r="O319" i="34"/>
  <c r="AA319" i="34"/>
  <c r="P319" i="34"/>
  <c r="X319" i="34"/>
  <c r="Q319" i="34"/>
  <c r="A190" i="34"/>
  <c r="R190" i="34"/>
  <c r="O190" i="34"/>
  <c r="S190" i="34"/>
  <c r="AA190" i="34"/>
  <c r="P190" i="34"/>
  <c r="T190" i="34"/>
  <c r="X190" i="34"/>
  <c r="Q190" i="34"/>
  <c r="A194" i="34"/>
  <c r="O194" i="34"/>
  <c r="AA194" i="34"/>
  <c r="P194" i="34"/>
  <c r="X194" i="34"/>
  <c r="Q194" i="34"/>
  <c r="A431" i="34"/>
  <c r="P431" i="34"/>
  <c r="X431" i="34"/>
  <c r="Q431" i="34"/>
  <c r="O431" i="34"/>
  <c r="AA431" i="34"/>
  <c r="A426" i="34"/>
  <c r="O426" i="34"/>
  <c r="AA426" i="34"/>
  <c r="P426" i="34"/>
  <c r="X426" i="34"/>
  <c r="Q426" i="34"/>
  <c r="A422" i="34"/>
  <c r="O422" i="34"/>
  <c r="AA422" i="34"/>
  <c r="P422" i="34"/>
  <c r="X422" i="34"/>
  <c r="Q422" i="34"/>
  <c r="A414" i="34"/>
  <c r="O414" i="34"/>
  <c r="AA414" i="34"/>
  <c r="P414" i="34"/>
  <c r="X414" i="34"/>
  <c r="Q414" i="34"/>
  <c r="A447" i="34"/>
  <c r="P447" i="34"/>
  <c r="X447" i="34"/>
  <c r="Q447" i="34"/>
  <c r="O447" i="34"/>
  <c r="AA447" i="34"/>
  <c r="A443" i="34"/>
  <c r="P443" i="34"/>
  <c r="X443" i="34"/>
  <c r="Q443" i="34"/>
  <c r="O443" i="34"/>
  <c r="AA443" i="34"/>
  <c r="A385" i="34"/>
  <c r="O385" i="34"/>
  <c r="AA385" i="34"/>
  <c r="P385" i="34"/>
  <c r="X385" i="34"/>
  <c r="Q385" i="34"/>
  <c r="A408" i="34"/>
  <c r="O408" i="34"/>
  <c r="AA408" i="34"/>
  <c r="P408" i="34"/>
  <c r="X408" i="34"/>
  <c r="Q408" i="34"/>
  <c r="A388" i="34"/>
  <c r="Q388" i="34"/>
  <c r="O388" i="34"/>
  <c r="AA388" i="34"/>
  <c r="P388" i="34"/>
  <c r="X388" i="34"/>
  <c r="A399" i="34"/>
  <c r="P399" i="34"/>
  <c r="X399" i="34"/>
  <c r="Q399" i="34"/>
  <c r="O399" i="34"/>
  <c r="AA399" i="34"/>
  <c r="A407" i="34"/>
  <c r="P407" i="34"/>
  <c r="X407" i="34"/>
  <c r="Q407" i="34"/>
  <c r="O407" i="34"/>
  <c r="AA407" i="34"/>
  <c r="A360" i="34"/>
  <c r="Q360" i="34"/>
  <c r="R360" i="34"/>
  <c r="O360" i="34"/>
  <c r="S360" i="34"/>
  <c r="AA360" i="34"/>
  <c r="P360" i="34"/>
  <c r="T360" i="34"/>
  <c r="X360" i="34"/>
  <c r="A371" i="34"/>
  <c r="O371" i="34"/>
  <c r="AA371" i="34"/>
  <c r="P371" i="34"/>
  <c r="X371" i="34"/>
  <c r="Q371" i="34"/>
  <c r="A374" i="34"/>
  <c r="Q374" i="34"/>
  <c r="O374" i="34"/>
  <c r="AA374" i="34"/>
  <c r="P374" i="34"/>
  <c r="X374" i="34"/>
  <c r="A356" i="34"/>
  <c r="Q356" i="34"/>
  <c r="O356" i="34"/>
  <c r="AA356" i="34"/>
  <c r="P356" i="34"/>
  <c r="X356" i="34"/>
  <c r="A349" i="34"/>
  <c r="O349" i="34"/>
  <c r="AA349" i="34"/>
  <c r="P349" i="34"/>
  <c r="X349" i="34"/>
  <c r="Q349" i="34"/>
  <c r="A339" i="34"/>
  <c r="O339" i="34"/>
  <c r="AA339" i="34"/>
  <c r="P339" i="34"/>
  <c r="X339" i="34"/>
  <c r="Q339" i="34"/>
  <c r="A317" i="34"/>
  <c r="O317" i="34"/>
  <c r="AA317" i="34"/>
  <c r="P317" i="34"/>
  <c r="X317" i="34"/>
  <c r="Q317" i="34"/>
  <c r="A278" i="34"/>
  <c r="O278" i="34"/>
  <c r="AA278" i="34"/>
  <c r="P278" i="34"/>
  <c r="X278" i="34"/>
  <c r="Q278" i="34"/>
  <c r="A315" i="34"/>
  <c r="O315" i="34"/>
  <c r="AA315" i="34"/>
  <c r="P315" i="34"/>
  <c r="X315" i="34"/>
  <c r="Q315" i="34"/>
  <c r="A311" i="34"/>
  <c r="O311" i="34"/>
  <c r="AA311" i="34"/>
  <c r="P311" i="34"/>
  <c r="X311" i="34"/>
  <c r="Q311" i="34"/>
  <c r="A307" i="34"/>
  <c r="O307" i="34"/>
  <c r="AA307" i="34"/>
  <c r="P307" i="34"/>
  <c r="X307" i="34"/>
  <c r="Q307" i="34"/>
  <c r="A303" i="34"/>
  <c r="O303" i="34"/>
  <c r="AA303" i="34"/>
  <c r="P303" i="34"/>
  <c r="X303" i="34"/>
  <c r="Q303" i="34"/>
  <c r="A299" i="34"/>
  <c r="O299" i="34"/>
  <c r="AA299" i="34"/>
  <c r="P299" i="34"/>
  <c r="X299" i="34"/>
  <c r="Q299" i="34"/>
  <c r="A295" i="34"/>
  <c r="O295" i="34"/>
  <c r="AA295" i="34"/>
  <c r="P295" i="34"/>
  <c r="X295" i="34"/>
  <c r="Q295" i="34"/>
  <c r="A291" i="34"/>
  <c r="O291" i="34"/>
  <c r="AA291" i="34"/>
  <c r="P291" i="34"/>
  <c r="X291" i="34"/>
  <c r="Q291" i="34"/>
  <c r="A287" i="34"/>
  <c r="O287" i="34"/>
  <c r="AA287" i="34"/>
  <c r="P287" i="34"/>
  <c r="X287" i="34"/>
  <c r="Q287" i="34"/>
  <c r="A283" i="34"/>
  <c r="Q283" i="34"/>
  <c r="O283" i="34"/>
  <c r="S283" i="34"/>
  <c r="AA283" i="34"/>
  <c r="P283" i="34"/>
  <c r="R283" i="34"/>
  <c r="T283" i="34"/>
  <c r="X283" i="34"/>
  <c r="A268" i="34"/>
  <c r="O268" i="34"/>
  <c r="AA268" i="34"/>
  <c r="P268" i="34"/>
  <c r="X268" i="34"/>
  <c r="Q268" i="34"/>
  <c r="A264" i="34"/>
  <c r="O264" i="34"/>
  <c r="AA264" i="34"/>
  <c r="P264" i="34"/>
  <c r="X264" i="34"/>
  <c r="Q264" i="34"/>
  <c r="A241" i="34"/>
  <c r="P241" i="34"/>
  <c r="X241" i="34"/>
  <c r="Q241" i="34"/>
  <c r="O241" i="34"/>
  <c r="AA241" i="34"/>
  <c r="A229" i="34"/>
  <c r="P229" i="34"/>
  <c r="X229" i="34"/>
  <c r="Q229" i="34"/>
  <c r="O229" i="34"/>
  <c r="AA229" i="34"/>
  <c r="A342" i="34"/>
  <c r="Q342" i="34"/>
  <c r="O342" i="34"/>
  <c r="AA342" i="34"/>
  <c r="P342" i="34"/>
  <c r="X342" i="34"/>
  <c r="A331" i="34"/>
  <c r="O331" i="34"/>
  <c r="AA331" i="34"/>
  <c r="P331" i="34"/>
  <c r="X331" i="34"/>
  <c r="Q331" i="34"/>
  <c r="A272" i="34"/>
  <c r="O272" i="34"/>
  <c r="AA272" i="34"/>
  <c r="P272" i="34"/>
  <c r="X272" i="34"/>
  <c r="Q272" i="34"/>
  <c r="A256" i="34"/>
  <c r="O256" i="34"/>
  <c r="AA256" i="34"/>
  <c r="P256" i="34"/>
  <c r="X256" i="34"/>
  <c r="Q256" i="34"/>
  <c r="A252" i="34"/>
  <c r="R252" i="34"/>
  <c r="O252" i="34"/>
  <c r="S252" i="34"/>
  <c r="AA252" i="34"/>
  <c r="P252" i="34"/>
  <c r="T252" i="34"/>
  <c r="X252" i="34"/>
  <c r="Q252" i="34"/>
  <c r="A237" i="34"/>
  <c r="P237" i="34"/>
  <c r="X237" i="34"/>
  <c r="Q237" i="34"/>
  <c r="O237" i="34"/>
  <c r="AA237" i="34"/>
  <c r="A223" i="34"/>
  <c r="P223" i="34"/>
  <c r="X223" i="34"/>
  <c r="Q223" i="34"/>
  <c r="O223" i="34"/>
  <c r="AA223" i="34"/>
  <c r="A219" i="34"/>
  <c r="Q219" i="34"/>
  <c r="P219" i="34"/>
  <c r="AA219" i="34"/>
  <c r="O219" i="34"/>
  <c r="X219" i="34"/>
  <c r="A213" i="34"/>
  <c r="Q213" i="34"/>
  <c r="O213" i="34"/>
  <c r="X213" i="34"/>
  <c r="P213" i="34"/>
  <c r="AA213" i="34"/>
  <c r="A209" i="34"/>
  <c r="P209" i="34"/>
  <c r="X209" i="34"/>
  <c r="Q209" i="34"/>
  <c r="O209" i="34"/>
  <c r="AA209" i="34"/>
  <c r="A205" i="34"/>
  <c r="P205" i="34"/>
  <c r="X205" i="34"/>
  <c r="Q205" i="34"/>
  <c r="O205" i="34"/>
  <c r="AA205" i="34"/>
  <c r="A200" i="34"/>
  <c r="O200" i="34"/>
  <c r="AA200" i="34"/>
  <c r="P200" i="34"/>
  <c r="X200" i="34"/>
  <c r="Q200" i="34"/>
  <c r="A320" i="34"/>
  <c r="Q320" i="34"/>
  <c r="O320" i="34"/>
  <c r="AA320" i="34"/>
  <c r="P320" i="34"/>
  <c r="X320" i="34"/>
  <c r="A170" i="34"/>
  <c r="O170" i="34"/>
  <c r="AA170" i="34"/>
  <c r="P170" i="34"/>
  <c r="X170" i="34"/>
  <c r="Q170" i="34"/>
  <c r="A163" i="34"/>
  <c r="O163" i="34"/>
  <c r="AA163" i="34"/>
  <c r="P163" i="34"/>
  <c r="X163" i="34"/>
  <c r="Q163" i="34"/>
  <c r="A154" i="34"/>
  <c r="Q154" i="34"/>
  <c r="O154" i="34"/>
  <c r="AA154" i="34"/>
  <c r="P154" i="34"/>
  <c r="X154" i="34"/>
  <c r="A162" i="34"/>
  <c r="Q162" i="34"/>
  <c r="P162" i="34"/>
  <c r="X162" i="34"/>
  <c r="O162" i="34"/>
  <c r="AA162" i="34"/>
  <c r="A244" i="34"/>
  <c r="R244" i="34"/>
  <c r="O244" i="34"/>
  <c r="S244" i="34"/>
  <c r="AA244" i="34"/>
  <c r="P244" i="34"/>
  <c r="T244" i="34"/>
  <c r="X244" i="34"/>
  <c r="Q244" i="34"/>
  <c r="A216" i="34"/>
  <c r="O216" i="34"/>
  <c r="AA216" i="34"/>
  <c r="P216" i="34"/>
  <c r="X216" i="34"/>
  <c r="Q216" i="34"/>
  <c r="A322" i="34"/>
  <c r="Q322" i="34"/>
  <c r="O322" i="34"/>
  <c r="AA322" i="34"/>
  <c r="P322" i="34"/>
  <c r="X322" i="34"/>
  <c r="A191" i="34"/>
  <c r="P191" i="34"/>
  <c r="X191" i="34"/>
  <c r="Q191" i="34"/>
  <c r="O191" i="34"/>
  <c r="AA191" i="34"/>
  <c r="A196" i="34"/>
  <c r="O196" i="34"/>
  <c r="AA196" i="34"/>
  <c r="P196" i="34"/>
  <c r="X196" i="34"/>
  <c r="Q196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32" i="34" l="1"/>
  <c r="B133" i="34"/>
  <c r="B134" i="34"/>
  <c r="B135" i="34"/>
  <c r="B136" i="34"/>
  <c r="B137" i="34"/>
  <c r="B138" i="34"/>
  <c r="B139" i="34"/>
  <c r="B147" i="34"/>
  <c r="B148" i="34"/>
  <c r="B149" i="34"/>
  <c r="A149" i="34" l="1"/>
  <c r="O149" i="34"/>
  <c r="AA149" i="34"/>
  <c r="P149" i="34"/>
  <c r="X149" i="34"/>
  <c r="Q149" i="34"/>
  <c r="A139" i="34"/>
  <c r="O139" i="34"/>
  <c r="S139" i="34"/>
  <c r="AA139" i="34"/>
  <c r="P139" i="34"/>
  <c r="T139" i="34"/>
  <c r="X139" i="34"/>
  <c r="Q139" i="34"/>
  <c r="R139" i="34"/>
  <c r="A135" i="34"/>
  <c r="O135" i="34"/>
  <c r="S135" i="34"/>
  <c r="AA135" i="34"/>
  <c r="P135" i="34"/>
  <c r="T135" i="34"/>
  <c r="X135" i="34"/>
  <c r="Q135" i="34"/>
  <c r="R135" i="34"/>
  <c r="A138" i="34"/>
  <c r="Q138" i="34"/>
  <c r="R138" i="34"/>
  <c r="O138" i="34"/>
  <c r="S138" i="34"/>
  <c r="AA138" i="34"/>
  <c r="P138" i="34"/>
  <c r="T138" i="34"/>
  <c r="X138" i="34"/>
  <c r="A134" i="34"/>
  <c r="Q134" i="34"/>
  <c r="O134" i="34"/>
  <c r="AA134" i="34"/>
  <c r="P134" i="34"/>
  <c r="X134" i="34"/>
  <c r="A148" i="34"/>
  <c r="Q148" i="34"/>
  <c r="O148" i="34"/>
  <c r="AA148" i="34"/>
  <c r="P148" i="34"/>
  <c r="X148" i="34"/>
  <c r="A137" i="34"/>
  <c r="O137" i="34"/>
  <c r="AA137" i="34"/>
  <c r="P137" i="34"/>
  <c r="X137" i="34"/>
  <c r="Q137" i="34"/>
  <c r="A133" i="34"/>
  <c r="O133" i="34"/>
  <c r="AA133" i="34"/>
  <c r="P133" i="34"/>
  <c r="X133" i="34"/>
  <c r="Q133" i="34"/>
  <c r="A147" i="34"/>
  <c r="O147" i="34"/>
  <c r="AA147" i="34"/>
  <c r="P147" i="34"/>
  <c r="X147" i="34"/>
  <c r="Q147" i="34"/>
  <c r="A136" i="34"/>
  <c r="Q136" i="34"/>
  <c r="O136" i="34"/>
  <c r="AA136" i="34"/>
  <c r="P136" i="34"/>
  <c r="X136" i="34"/>
  <c r="A132" i="34"/>
  <c r="Q132" i="34"/>
  <c r="O132" i="34"/>
  <c r="AA132" i="34"/>
  <c r="P132" i="34"/>
  <c r="X132" i="34"/>
  <c r="B117" i="34"/>
  <c r="B118" i="34"/>
  <c r="B119" i="34"/>
  <c r="B120" i="34"/>
  <c r="B121" i="34"/>
  <c r="B128" i="34"/>
  <c r="B129" i="34"/>
  <c r="B130" i="34"/>
  <c r="B131" i="34"/>
  <c r="B108" i="34"/>
  <c r="B109" i="34"/>
  <c r="B110" i="34"/>
  <c r="B111" i="34"/>
  <c r="B112" i="34"/>
  <c r="B113" i="34"/>
  <c r="B114" i="34"/>
  <c r="B115" i="34"/>
  <c r="B116" i="34"/>
  <c r="B107" i="34"/>
  <c r="B74" i="34"/>
  <c r="B106" i="34"/>
  <c r="B123" i="34"/>
  <c r="B122" i="34"/>
  <c r="B177" i="34"/>
  <c r="B176" i="34"/>
  <c r="B175" i="34"/>
  <c r="B174" i="34"/>
  <c r="B173" i="34"/>
  <c r="B157" i="34"/>
  <c r="B152" i="34"/>
  <c r="B151" i="34"/>
  <c r="B144" i="34"/>
  <c r="B73" i="34"/>
  <c r="B67" i="34"/>
  <c r="B68" i="34"/>
  <c r="B58" i="34"/>
  <c r="B59" i="34"/>
  <c r="B60" i="34"/>
  <c r="B61" i="34"/>
  <c r="B62" i="34"/>
  <c r="A62" i="34" s="1"/>
  <c r="B63" i="34"/>
  <c r="B64" i="34"/>
  <c r="B155" i="34"/>
  <c r="B156" i="34"/>
  <c r="B100" i="34"/>
  <c r="B101" i="34"/>
  <c r="B140" i="34"/>
  <c r="B141" i="34"/>
  <c r="B142" i="34"/>
  <c r="B143" i="34"/>
  <c r="B97" i="34"/>
  <c r="B92" i="34"/>
  <c r="B93" i="34"/>
  <c r="B90" i="34"/>
  <c r="B91" i="34"/>
  <c r="B81" i="34"/>
  <c r="B82" i="34"/>
  <c r="B84" i="34"/>
  <c r="B85" i="34"/>
  <c r="B87" i="34"/>
  <c r="B88" i="34"/>
  <c r="B76" i="34"/>
  <c r="B77" i="34"/>
  <c r="B78" i="34"/>
  <c r="B79" i="34"/>
  <c r="B80" i="34"/>
  <c r="B65" i="34"/>
  <c r="B66" i="34"/>
  <c r="B69" i="34"/>
  <c r="B70" i="34"/>
  <c r="B71" i="34"/>
  <c r="B72" i="34"/>
  <c r="B420" i="34"/>
  <c r="B453" i="34"/>
  <c r="B455" i="34"/>
  <c r="B56" i="34"/>
  <c r="B57" i="34"/>
  <c r="B98" i="34"/>
  <c r="B99" i="34"/>
  <c r="B103" i="34"/>
  <c r="B104" i="34"/>
  <c r="B94" i="34"/>
  <c r="B95" i="34"/>
  <c r="B96" i="34"/>
  <c r="B394" i="34"/>
  <c r="B395" i="34"/>
  <c r="B413" i="34"/>
  <c r="B418" i="34"/>
  <c r="B419" i="34"/>
  <c r="B353" i="34"/>
  <c r="B359" i="34"/>
  <c r="B363" i="34"/>
  <c r="B364" i="34"/>
  <c r="B365" i="34"/>
  <c r="B366" i="34"/>
  <c r="B379" i="34"/>
  <c r="B380" i="34"/>
  <c r="B391" i="34"/>
  <c r="B393" i="34"/>
  <c r="R57" i="34" l="1"/>
  <c r="O57" i="34"/>
  <c r="S57" i="34"/>
  <c r="AA57" i="34"/>
  <c r="P57" i="34"/>
  <c r="T57" i="34"/>
  <c r="X57" i="34"/>
  <c r="A57" i="34"/>
  <c r="Q57" i="34"/>
  <c r="A59" i="34"/>
  <c r="P59" i="34"/>
  <c r="T59" i="34"/>
  <c r="Q59" i="34"/>
  <c r="R59" i="34"/>
  <c r="AA59" i="34"/>
  <c r="O59" i="34"/>
  <c r="S59" i="34"/>
  <c r="X59" i="34"/>
  <c r="P56" i="34"/>
  <c r="T56" i="34"/>
  <c r="X56" i="34"/>
  <c r="Q56" i="34"/>
  <c r="A56" i="34"/>
  <c r="R56" i="34"/>
  <c r="O56" i="34"/>
  <c r="S56" i="34"/>
  <c r="AA56" i="34"/>
  <c r="Q58" i="34"/>
  <c r="R58" i="34"/>
  <c r="AA58" i="34"/>
  <c r="O58" i="34"/>
  <c r="S58" i="34"/>
  <c r="X58" i="34"/>
  <c r="A58" i="34"/>
  <c r="P58" i="34"/>
  <c r="T58" i="34"/>
  <c r="O61" i="34"/>
  <c r="S61" i="34"/>
  <c r="P61" i="34"/>
  <c r="T61" i="34"/>
  <c r="A61" i="34"/>
  <c r="Q61" i="34"/>
  <c r="R61" i="34"/>
  <c r="AA61" i="34"/>
  <c r="X61" i="34"/>
  <c r="P60" i="34"/>
  <c r="T60" i="34"/>
  <c r="R60" i="34"/>
  <c r="A60" i="34"/>
  <c r="Q60" i="34"/>
  <c r="AA60" i="34"/>
  <c r="O60" i="34"/>
  <c r="S60" i="34"/>
  <c r="X60" i="34"/>
  <c r="A364" i="34"/>
  <c r="Q364" i="34"/>
  <c r="O364" i="34"/>
  <c r="AA364" i="34"/>
  <c r="P364" i="34"/>
  <c r="X364" i="34"/>
  <c r="A419" i="34"/>
  <c r="P419" i="34"/>
  <c r="T419" i="34"/>
  <c r="X419" i="34"/>
  <c r="Q419" i="34"/>
  <c r="R419" i="34"/>
  <c r="O419" i="34"/>
  <c r="S419" i="34"/>
  <c r="AA419" i="34"/>
  <c r="A394" i="34"/>
  <c r="O394" i="34"/>
  <c r="AA394" i="34"/>
  <c r="P394" i="34"/>
  <c r="X394" i="34"/>
  <c r="Q394" i="34"/>
  <c r="A104" i="34"/>
  <c r="P104" i="34"/>
  <c r="X104" i="34"/>
  <c r="Q104" i="34"/>
  <c r="O104" i="34"/>
  <c r="AA104" i="34"/>
  <c r="A420" i="34"/>
  <c r="O420" i="34"/>
  <c r="AA420" i="34"/>
  <c r="P420" i="34"/>
  <c r="X420" i="34"/>
  <c r="Q420" i="34"/>
  <c r="A69" i="34"/>
  <c r="O69" i="34"/>
  <c r="AA69" i="34"/>
  <c r="P69" i="34"/>
  <c r="X69" i="34"/>
  <c r="Q69" i="34"/>
  <c r="A79" i="34"/>
  <c r="O79" i="34"/>
  <c r="AA79" i="34"/>
  <c r="P79" i="34"/>
  <c r="X79" i="34"/>
  <c r="Q79" i="34"/>
  <c r="A88" i="34"/>
  <c r="P88" i="34"/>
  <c r="X88" i="34"/>
  <c r="Q88" i="34"/>
  <c r="O88" i="34"/>
  <c r="AA88" i="34"/>
  <c r="A82" i="34"/>
  <c r="P82" i="34"/>
  <c r="X82" i="34"/>
  <c r="Q82" i="34"/>
  <c r="O82" i="34"/>
  <c r="AA82" i="34"/>
  <c r="A93" i="34"/>
  <c r="O93" i="34"/>
  <c r="AA93" i="34"/>
  <c r="P93" i="34"/>
  <c r="X93" i="34"/>
  <c r="Q93" i="34"/>
  <c r="A142" i="34"/>
  <c r="Q142" i="34"/>
  <c r="R142" i="34"/>
  <c r="O142" i="34"/>
  <c r="S142" i="34"/>
  <c r="AA142" i="34"/>
  <c r="P142" i="34"/>
  <c r="T142" i="34"/>
  <c r="X142" i="34"/>
  <c r="A100" i="34"/>
  <c r="P100" i="34"/>
  <c r="X100" i="34"/>
  <c r="Q100" i="34"/>
  <c r="O100" i="34"/>
  <c r="AA100" i="34"/>
  <c r="A63" i="34"/>
  <c r="O63" i="34"/>
  <c r="AA63" i="34"/>
  <c r="P63" i="34"/>
  <c r="X63" i="34"/>
  <c r="Q63" i="34"/>
  <c r="A73" i="34"/>
  <c r="O73" i="34"/>
  <c r="AA73" i="34"/>
  <c r="P73" i="34"/>
  <c r="X73" i="34"/>
  <c r="Q73" i="34"/>
  <c r="A157" i="34"/>
  <c r="O157" i="34"/>
  <c r="AA157" i="34"/>
  <c r="Q157" i="34"/>
  <c r="X157" i="34"/>
  <c r="P157" i="34"/>
  <c r="A176" i="34"/>
  <c r="R176" i="34"/>
  <c r="O176" i="34"/>
  <c r="S176" i="34"/>
  <c r="AA176" i="34"/>
  <c r="P176" i="34"/>
  <c r="T176" i="34"/>
  <c r="X176" i="34"/>
  <c r="Q176" i="34"/>
  <c r="A106" i="34"/>
  <c r="P106" i="34"/>
  <c r="X106" i="34"/>
  <c r="Q106" i="34"/>
  <c r="O106" i="34"/>
  <c r="AA106" i="34"/>
  <c r="A115" i="34"/>
  <c r="O115" i="34"/>
  <c r="S115" i="34"/>
  <c r="AA115" i="34"/>
  <c r="P115" i="34"/>
  <c r="T115" i="34"/>
  <c r="X115" i="34"/>
  <c r="Q115" i="34"/>
  <c r="R115" i="34"/>
  <c r="A111" i="34"/>
  <c r="P111" i="34"/>
  <c r="S111" i="34"/>
  <c r="AA111" i="34"/>
  <c r="O111" i="34"/>
  <c r="T111" i="34"/>
  <c r="X111" i="34"/>
  <c r="Q111" i="34"/>
  <c r="R111" i="34"/>
  <c r="A131" i="34"/>
  <c r="O131" i="34"/>
  <c r="S131" i="34"/>
  <c r="AA131" i="34"/>
  <c r="P131" i="34"/>
  <c r="T131" i="34"/>
  <c r="X131" i="34"/>
  <c r="Q131" i="34"/>
  <c r="R131" i="34"/>
  <c r="A121" i="34"/>
  <c r="O121" i="34"/>
  <c r="AA121" i="34"/>
  <c r="P121" i="34"/>
  <c r="X121" i="34"/>
  <c r="Q121" i="34"/>
  <c r="A117" i="34"/>
  <c r="O117" i="34"/>
  <c r="AA117" i="34"/>
  <c r="P117" i="34"/>
  <c r="X117" i="34"/>
  <c r="Q117" i="34"/>
  <c r="A363" i="34"/>
  <c r="O363" i="34"/>
  <c r="AA363" i="34"/>
  <c r="P363" i="34"/>
  <c r="X363" i="34"/>
  <c r="Q363" i="34"/>
  <c r="A418" i="34"/>
  <c r="R418" i="34"/>
  <c r="O418" i="34"/>
  <c r="S418" i="34"/>
  <c r="AA418" i="34"/>
  <c r="P418" i="34"/>
  <c r="T418" i="34"/>
  <c r="X418" i="34"/>
  <c r="Q418" i="34"/>
  <c r="A96" i="34"/>
  <c r="P96" i="34"/>
  <c r="X96" i="34"/>
  <c r="Q96" i="34"/>
  <c r="O96" i="34"/>
  <c r="AA96" i="34"/>
  <c r="A103" i="34"/>
  <c r="O103" i="34"/>
  <c r="AA103" i="34"/>
  <c r="P103" i="34"/>
  <c r="X103" i="34"/>
  <c r="Q103" i="34"/>
  <c r="A72" i="34"/>
  <c r="P72" i="34"/>
  <c r="X72" i="34"/>
  <c r="Q72" i="34"/>
  <c r="O72" i="34"/>
  <c r="AA72" i="34"/>
  <c r="A66" i="34"/>
  <c r="P66" i="34"/>
  <c r="X66" i="34"/>
  <c r="Q66" i="34"/>
  <c r="O66" i="34"/>
  <c r="AA66" i="34"/>
  <c r="A78" i="34"/>
  <c r="P78" i="34"/>
  <c r="X78" i="34"/>
  <c r="Q78" i="34"/>
  <c r="O78" i="34"/>
  <c r="AA78" i="34"/>
  <c r="A87" i="34"/>
  <c r="O87" i="34"/>
  <c r="AA87" i="34"/>
  <c r="P87" i="34"/>
  <c r="X87" i="34"/>
  <c r="Q87" i="34"/>
  <c r="A81" i="34"/>
  <c r="O81" i="34"/>
  <c r="AA81" i="34"/>
  <c r="P81" i="34"/>
  <c r="X81" i="34"/>
  <c r="Q81" i="34"/>
  <c r="A92" i="34"/>
  <c r="P92" i="34"/>
  <c r="X92" i="34"/>
  <c r="Q92" i="34"/>
  <c r="O92" i="34"/>
  <c r="AA92" i="34"/>
  <c r="A141" i="34"/>
  <c r="O141" i="34"/>
  <c r="AA141" i="34"/>
  <c r="P141" i="34"/>
  <c r="X141" i="34"/>
  <c r="Q141" i="34"/>
  <c r="A156" i="34"/>
  <c r="Q156" i="34"/>
  <c r="O156" i="34"/>
  <c r="AA156" i="34"/>
  <c r="P156" i="34"/>
  <c r="X156" i="34"/>
  <c r="P62" i="34"/>
  <c r="T62" i="34"/>
  <c r="X62" i="34"/>
  <c r="Q62" i="34"/>
  <c r="R62" i="34"/>
  <c r="O62" i="34"/>
  <c r="S62" i="34"/>
  <c r="AA62" i="34"/>
  <c r="A144" i="34"/>
  <c r="Q144" i="34"/>
  <c r="O144" i="34"/>
  <c r="AA144" i="34"/>
  <c r="P144" i="34"/>
  <c r="X144" i="34"/>
  <c r="A173" i="34"/>
  <c r="P173" i="34"/>
  <c r="X173" i="34"/>
  <c r="Q173" i="34"/>
  <c r="O173" i="34"/>
  <c r="AA173" i="34"/>
  <c r="A177" i="34"/>
  <c r="P177" i="34"/>
  <c r="T177" i="34"/>
  <c r="X177" i="34"/>
  <c r="Q177" i="34"/>
  <c r="R177" i="34"/>
  <c r="O177" i="34"/>
  <c r="S177" i="34"/>
  <c r="AA177" i="34"/>
  <c r="A74" i="34"/>
  <c r="P74" i="34"/>
  <c r="X74" i="34"/>
  <c r="Q74" i="34"/>
  <c r="O74" i="34"/>
  <c r="AA74" i="34"/>
  <c r="A114" i="34"/>
  <c r="Q114" i="34"/>
  <c r="O114" i="34"/>
  <c r="AA114" i="34"/>
  <c r="P114" i="34"/>
  <c r="X114" i="34"/>
  <c r="A110" i="34"/>
  <c r="P110" i="34"/>
  <c r="Q110" i="34"/>
  <c r="O110" i="34"/>
  <c r="X110" i="34"/>
  <c r="AA110" i="34"/>
  <c r="A130" i="34"/>
  <c r="Q130" i="34"/>
  <c r="R130" i="34"/>
  <c r="O130" i="34"/>
  <c r="S130" i="34"/>
  <c r="AA130" i="34"/>
  <c r="P130" i="34"/>
  <c r="T130" i="34"/>
  <c r="X130" i="34"/>
  <c r="A120" i="34"/>
  <c r="Q120" i="34"/>
  <c r="O120" i="34"/>
  <c r="AA120" i="34"/>
  <c r="P120" i="34"/>
  <c r="X120" i="34"/>
  <c r="A380" i="34"/>
  <c r="Q380" i="34"/>
  <c r="O380" i="34"/>
  <c r="AA380" i="34"/>
  <c r="P380" i="34"/>
  <c r="X380" i="34"/>
  <c r="A393" i="34"/>
  <c r="Q393" i="34"/>
  <c r="O393" i="34"/>
  <c r="X393" i="34"/>
  <c r="P393" i="34"/>
  <c r="AA393" i="34"/>
  <c r="A366" i="34"/>
  <c r="Q366" i="34"/>
  <c r="O366" i="34"/>
  <c r="AA366" i="34"/>
  <c r="P366" i="34"/>
  <c r="X366" i="34"/>
  <c r="A359" i="34"/>
  <c r="O359" i="34"/>
  <c r="AA359" i="34"/>
  <c r="P359" i="34"/>
  <c r="X359" i="34"/>
  <c r="Q359" i="34"/>
  <c r="A413" i="34"/>
  <c r="P413" i="34"/>
  <c r="X413" i="34"/>
  <c r="Q413" i="34"/>
  <c r="O413" i="34"/>
  <c r="AA413" i="34"/>
  <c r="A95" i="34"/>
  <c r="O95" i="34"/>
  <c r="AA95" i="34"/>
  <c r="P95" i="34"/>
  <c r="X95" i="34"/>
  <c r="Q95" i="34"/>
  <c r="A99" i="34"/>
  <c r="O99" i="34"/>
  <c r="AA99" i="34"/>
  <c r="P99" i="34"/>
  <c r="X99" i="34"/>
  <c r="Q99" i="34"/>
  <c r="A455" i="34"/>
  <c r="P455" i="34"/>
  <c r="X455" i="34"/>
  <c r="Q455" i="34"/>
  <c r="O455" i="34"/>
  <c r="AA455" i="34"/>
  <c r="A71" i="34"/>
  <c r="O71" i="34"/>
  <c r="AA71" i="34"/>
  <c r="P71" i="34"/>
  <c r="X71" i="34"/>
  <c r="Q71" i="34"/>
  <c r="A65" i="34"/>
  <c r="O65" i="34"/>
  <c r="AA65" i="34"/>
  <c r="P65" i="34"/>
  <c r="X65" i="34"/>
  <c r="Q65" i="34"/>
  <c r="A77" i="34"/>
  <c r="O77" i="34"/>
  <c r="AA77" i="34"/>
  <c r="P77" i="34"/>
  <c r="X77" i="34"/>
  <c r="Q77" i="34"/>
  <c r="A85" i="34"/>
  <c r="O85" i="34"/>
  <c r="AA85" i="34"/>
  <c r="P85" i="34"/>
  <c r="X85" i="34"/>
  <c r="Q85" i="34"/>
  <c r="A91" i="34"/>
  <c r="O91" i="34"/>
  <c r="AA91" i="34"/>
  <c r="P91" i="34"/>
  <c r="X91" i="34"/>
  <c r="Q91" i="34"/>
  <c r="A97" i="34"/>
  <c r="O97" i="34"/>
  <c r="AA97" i="34"/>
  <c r="P97" i="34"/>
  <c r="X97" i="34"/>
  <c r="Q97" i="34"/>
  <c r="A140" i="34"/>
  <c r="Q140" i="34"/>
  <c r="R140" i="34"/>
  <c r="O140" i="34"/>
  <c r="S140" i="34"/>
  <c r="AA140" i="34"/>
  <c r="P140" i="34"/>
  <c r="T140" i="34"/>
  <c r="X140" i="34"/>
  <c r="A155" i="34"/>
  <c r="O155" i="34"/>
  <c r="AA155" i="34"/>
  <c r="P155" i="34"/>
  <c r="X155" i="34"/>
  <c r="Q155" i="34"/>
  <c r="A68" i="34"/>
  <c r="P68" i="34"/>
  <c r="X68" i="34"/>
  <c r="Q68" i="34"/>
  <c r="O68" i="34"/>
  <c r="AA68" i="34"/>
  <c r="A151" i="34"/>
  <c r="O151" i="34"/>
  <c r="AA151" i="34"/>
  <c r="P151" i="34"/>
  <c r="X151" i="34"/>
  <c r="Q151" i="34"/>
  <c r="A174" i="34"/>
  <c r="O174" i="34"/>
  <c r="AA174" i="34"/>
  <c r="P174" i="34"/>
  <c r="X174" i="34"/>
  <c r="Q174" i="34"/>
  <c r="A122" i="34"/>
  <c r="Q122" i="34"/>
  <c r="O122" i="34"/>
  <c r="AA122" i="34"/>
  <c r="P122" i="34"/>
  <c r="X122" i="34"/>
  <c r="A107" i="34"/>
  <c r="O107" i="34"/>
  <c r="AA107" i="34"/>
  <c r="P107" i="34"/>
  <c r="X107" i="34"/>
  <c r="Q107" i="34"/>
  <c r="A113" i="34"/>
  <c r="O113" i="34"/>
  <c r="AA113" i="34"/>
  <c r="P113" i="34"/>
  <c r="X113" i="34"/>
  <c r="Q113" i="34"/>
  <c r="A109" i="34"/>
  <c r="O109" i="34"/>
  <c r="AA109" i="34"/>
  <c r="P109" i="34"/>
  <c r="X109" i="34"/>
  <c r="Q109" i="34"/>
  <c r="A129" i="34"/>
  <c r="O129" i="34"/>
  <c r="S129" i="34"/>
  <c r="AA129" i="34"/>
  <c r="P129" i="34"/>
  <c r="T129" i="34"/>
  <c r="X129" i="34"/>
  <c r="Q129" i="34"/>
  <c r="R129" i="34"/>
  <c r="A119" i="34"/>
  <c r="O119" i="34"/>
  <c r="AA119" i="34"/>
  <c r="P119" i="34"/>
  <c r="X119" i="34"/>
  <c r="Q119" i="34"/>
  <c r="A379" i="34"/>
  <c r="O379" i="34"/>
  <c r="AA379" i="34"/>
  <c r="P379" i="34"/>
  <c r="X379" i="34"/>
  <c r="Q379" i="34"/>
  <c r="A391" i="34"/>
  <c r="Q391" i="34"/>
  <c r="O391" i="34"/>
  <c r="X391" i="34"/>
  <c r="P391" i="34"/>
  <c r="AA391" i="34"/>
  <c r="A365" i="34"/>
  <c r="O365" i="34"/>
  <c r="AA365" i="34"/>
  <c r="P365" i="34"/>
  <c r="X365" i="34"/>
  <c r="Q365" i="34"/>
  <c r="A353" i="34"/>
  <c r="O353" i="34"/>
  <c r="AA353" i="34"/>
  <c r="P353" i="34"/>
  <c r="X353" i="34"/>
  <c r="Q353" i="34"/>
  <c r="A395" i="34"/>
  <c r="P395" i="34"/>
  <c r="X395" i="34"/>
  <c r="Q395" i="34"/>
  <c r="O395" i="34"/>
  <c r="AA395" i="34"/>
  <c r="A94" i="34"/>
  <c r="P94" i="34"/>
  <c r="X94" i="34"/>
  <c r="Q94" i="34"/>
  <c r="O94" i="34"/>
  <c r="AA94" i="34"/>
  <c r="A98" i="34"/>
  <c r="P98" i="34"/>
  <c r="X98" i="34"/>
  <c r="Q98" i="34"/>
  <c r="O98" i="34"/>
  <c r="AA98" i="34"/>
  <c r="A453" i="34"/>
  <c r="P453" i="34"/>
  <c r="X453" i="34"/>
  <c r="Q453" i="34"/>
  <c r="O453" i="34"/>
  <c r="AA453" i="34"/>
  <c r="A70" i="34"/>
  <c r="P70" i="34"/>
  <c r="X70" i="34"/>
  <c r="Q70" i="34"/>
  <c r="O70" i="34"/>
  <c r="AA70" i="34"/>
  <c r="A80" i="34"/>
  <c r="P80" i="34"/>
  <c r="X80" i="34"/>
  <c r="Q80" i="34"/>
  <c r="O80" i="34"/>
  <c r="AA80" i="34"/>
  <c r="A76" i="34"/>
  <c r="P76" i="34"/>
  <c r="X76" i="34"/>
  <c r="Q76" i="34"/>
  <c r="O76" i="34"/>
  <c r="AA76" i="34"/>
  <c r="A84" i="34"/>
  <c r="P84" i="34"/>
  <c r="X84" i="34"/>
  <c r="Q84" i="34"/>
  <c r="O84" i="34"/>
  <c r="AA84" i="34"/>
  <c r="A90" i="34"/>
  <c r="P90" i="34"/>
  <c r="X90" i="34"/>
  <c r="Q90" i="34"/>
  <c r="O90" i="34"/>
  <c r="AA90" i="34"/>
  <c r="A143" i="34"/>
  <c r="O143" i="34"/>
  <c r="AA143" i="34"/>
  <c r="P143" i="34"/>
  <c r="X143" i="34"/>
  <c r="Q143" i="34"/>
  <c r="A101" i="34"/>
  <c r="R101" i="34"/>
  <c r="O101" i="34"/>
  <c r="S101" i="34"/>
  <c r="AA101" i="34"/>
  <c r="P101" i="34"/>
  <c r="T101" i="34"/>
  <c r="X101" i="34"/>
  <c r="Q101" i="34"/>
  <c r="A64" i="34"/>
  <c r="P64" i="34"/>
  <c r="X64" i="34"/>
  <c r="Q64" i="34"/>
  <c r="O64" i="34"/>
  <c r="AA64" i="34"/>
  <c r="A67" i="34"/>
  <c r="O67" i="34"/>
  <c r="AA67" i="34"/>
  <c r="P67" i="34"/>
  <c r="X67" i="34"/>
  <c r="Q67" i="34"/>
  <c r="A152" i="34"/>
  <c r="Q152" i="34"/>
  <c r="O152" i="34"/>
  <c r="AA152" i="34"/>
  <c r="P152" i="34"/>
  <c r="X152" i="34"/>
  <c r="A175" i="34"/>
  <c r="P175" i="34"/>
  <c r="T175" i="34"/>
  <c r="X175" i="34"/>
  <c r="Q175" i="34"/>
  <c r="R175" i="34"/>
  <c r="O175" i="34"/>
  <c r="S175" i="34"/>
  <c r="AA175" i="34"/>
  <c r="A123" i="34"/>
  <c r="O123" i="34"/>
  <c r="AA123" i="34"/>
  <c r="P123" i="34"/>
  <c r="X123" i="34"/>
  <c r="Q123" i="34"/>
  <c r="A116" i="34"/>
  <c r="Q116" i="34"/>
  <c r="O116" i="34"/>
  <c r="AA116" i="34"/>
  <c r="P116" i="34"/>
  <c r="X116" i="34"/>
  <c r="A112" i="34"/>
  <c r="Q112" i="34"/>
  <c r="O112" i="34"/>
  <c r="AA112" i="34"/>
  <c r="P112" i="34"/>
  <c r="X112" i="34"/>
  <c r="A108" i="34"/>
  <c r="P108" i="34"/>
  <c r="X108" i="34"/>
  <c r="Q108" i="34"/>
  <c r="O108" i="34"/>
  <c r="AA108" i="34"/>
  <c r="A128" i="34"/>
  <c r="Q128" i="34"/>
  <c r="R128" i="34"/>
  <c r="O128" i="34"/>
  <c r="S128" i="34"/>
  <c r="AA128" i="34"/>
  <c r="P128" i="34"/>
  <c r="T128" i="34"/>
  <c r="X128" i="34"/>
  <c r="A118" i="34"/>
  <c r="Q118" i="34"/>
  <c r="O118" i="34"/>
  <c r="AA118" i="34"/>
  <c r="P118" i="34"/>
  <c r="X118" i="34"/>
  <c r="B333" i="34"/>
  <c r="B334" i="34"/>
  <c r="B350" i="34"/>
  <c r="B352" i="34"/>
  <c r="B328" i="34"/>
  <c r="B327" i="34"/>
  <c r="B325" i="34"/>
  <c r="B261" i="34"/>
  <c r="B251" i="34"/>
  <c r="B250" i="34"/>
  <c r="B249" i="34"/>
  <c r="B235" i="34"/>
  <c r="B234" i="34"/>
  <c r="B187" i="34"/>
  <c r="B186" i="34"/>
  <c r="B180" i="34"/>
  <c r="B179" i="34"/>
  <c r="B178" i="34"/>
  <c r="B145" i="34"/>
  <c r="B127" i="34"/>
  <c r="B126" i="34"/>
  <c r="B125" i="34"/>
  <c r="B124" i="34"/>
  <c r="B89" i="34"/>
  <c r="B357" i="34"/>
  <c r="B358" i="34"/>
  <c r="B377" i="34"/>
  <c r="B378" i="34"/>
  <c r="B386" i="34"/>
  <c r="B392" i="34"/>
  <c r="B401" i="34"/>
  <c r="B411" i="34"/>
  <c r="B412" i="34"/>
  <c r="B416" i="34"/>
  <c r="B417" i="34"/>
  <c r="B429" i="34"/>
  <c r="B452" i="34"/>
  <c r="B454" i="34"/>
  <c r="B461" i="34"/>
  <c r="B354" i="34"/>
  <c r="A429" i="34" l="1"/>
  <c r="P429" i="34"/>
  <c r="X429" i="34"/>
  <c r="Q429" i="34"/>
  <c r="O429" i="34"/>
  <c r="AA429" i="34"/>
  <c r="A89" i="34"/>
  <c r="O89" i="34"/>
  <c r="AA89" i="34"/>
  <c r="P89" i="34"/>
  <c r="X89" i="34"/>
  <c r="Q89" i="34"/>
  <c r="A235" i="34"/>
  <c r="P235" i="34"/>
  <c r="X235" i="34"/>
  <c r="Q235" i="34"/>
  <c r="O235" i="34"/>
  <c r="AA235" i="34"/>
  <c r="A411" i="34"/>
  <c r="P411" i="34"/>
  <c r="X411" i="34"/>
  <c r="Q411" i="34"/>
  <c r="O411" i="34"/>
  <c r="AA411" i="34"/>
  <c r="A127" i="34"/>
  <c r="O127" i="34"/>
  <c r="S127" i="34"/>
  <c r="AA127" i="34"/>
  <c r="P127" i="34"/>
  <c r="T127" i="34"/>
  <c r="X127" i="34"/>
  <c r="Q127" i="34"/>
  <c r="R127" i="34"/>
  <c r="A180" i="34"/>
  <c r="R180" i="34"/>
  <c r="O180" i="34"/>
  <c r="S180" i="34"/>
  <c r="AA180" i="34"/>
  <c r="P180" i="34"/>
  <c r="T180" i="34"/>
  <c r="X180" i="34"/>
  <c r="Q180" i="34"/>
  <c r="A261" i="34"/>
  <c r="P261" i="34"/>
  <c r="X261" i="34"/>
  <c r="Q261" i="34"/>
  <c r="O261" i="34"/>
  <c r="AA261" i="34"/>
  <c r="A352" i="34"/>
  <c r="Q352" i="34"/>
  <c r="O352" i="34"/>
  <c r="AA352" i="34"/>
  <c r="P352" i="34"/>
  <c r="X352" i="34"/>
  <c r="A461" i="34"/>
  <c r="P461" i="34"/>
  <c r="T461" i="34"/>
  <c r="X461" i="34"/>
  <c r="Q461" i="34"/>
  <c r="R461" i="34"/>
  <c r="O461" i="34"/>
  <c r="S461" i="34"/>
  <c r="AA461" i="34"/>
  <c r="A417" i="34"/>
  <c r="P417" i="34"/>
  <c r="T417" i="34"/>
  <c r="X417" i="34"/>
  <c r="Q417" i="34"/>
  <c r="R417" i="34"/>
  <c r="O417" i="34"/>
  <c r="S417" i="34"/>
  <c r="AA417" i="34"/>
  <c r="A401" i="34"/>
  <c r="P401" i="34"/>
  <c r="X401" i="34"/>
  <c r="Q401" i="34"/>
  <c r="O401" i="34"/>
  <c r="AA401" i="34"/>
  <c r="A377" i="34"/>
  <c r="O377" i="34"/>
  <c r="AA377" i="34"/>
  <c r="P377" i="34"/>
  <c r="X377" i="34"/>
  <c r="Q377" i="34"/>
  <c r="A124" i="34"/>
  <c r="Q124" i="34"/>
  <c r="O124" i="34"/>
  <c r="AA124" i="34"/>
  <c r="P124" i="34"/>
  <c r="X124" i="34"/>
  <c r="A145" i="34"/>
  <c r="O145" i="34"/>
  <c r="AA145" i="34"/>
  <c r="P145" i="34"/>
  <c r="X145" i="34"/>
  <c r="Q145" i="34"/>
  <c r="A186" i="34"/>
  <c r="O186" i="34"/>
  <c r="AA186" i="34"/>
  <c r="P186" i="34"/>
  <c r="X186" i="34"/>
  <c r="Q186" i="34"/>
  <c r="A249" i="34"/>
  <c r="P249" i="34"/>
  <c r="T249" i="34"/>
  <c r="X249" i="34"/>
  <c r="Q249" i="34"/>
  <c r="R249" i="34"/>
  <c r="O249" i="34"/>
  <c r="S249" i="34"/>
  <c r="AA249" i="34"/>
  <c r="A325" i="34"/>
  <c r="O325" i="34"/>
  <c r="AA325" i="34"/>
  <c r="P325" i="34"/>
  <c r="X325" i="34"/>
  <c r="Q325" i="34"/>
  <c r="A350" i="34"/>
  <c r="Q350" i="34"/>
  <c r="O350" i="34"/>
  <c r="AA350" i="34"/>
  <c r="P350" i="34"/>
  <c r="X350" i="34"/>
  <c r="A354" i="34"/>
  <c r="Q354" i="34"/>
  <c r="O354" i="34"/>
  <c r="AA354" i="34"/>
  <c r="P354" i="34"/>
  <c r="X354" i="34"/>
  <c r="A454" i="34"/>
  <c r="O454" i="34"/>
  <c r="AA454" i="34"/>
  <c r="P454" i="34"/>
  <c r="X454" i="34"/>
  <c r="Q454" i="34"/>
  <c r="A392" i="34"/>
  <c r="O392" i="34"/>
  <c r="AA392" i="34"/>
  <c r="P392" i="34"/>
  <c r="X392" i="34"/>
  <c r="Q392" i="34"/>
  <c r="A125" i="34"/>
  <c r="O125" i="34"/>
  <c r="AA125" i="34"/>
  <c r="P125" i="34"/>
  <c r="X125" i="34"/>
  <c r="Q125" i="34"/>
  <c r="A250" i="34"/>
  <c r="R250" i="34"/>
  <c r="O250" i="34"/>
  <c r="S250" i="34"/>
  <c r="AA250" i="34"/>
  <c r="P250" i="34"/>
  <c r="T250" i="34"/>
  <c r="X250" i="34"/>
  <c r="Q250" i="34"/>
  <c r="A378" i="34"/>
  <c r="Q378" i="34"/>
  <c r="O378" i="34"/>
  <c r="AA378" i="34"/>
  <c r="P378" i="34"/>
  <c r="X378" i="34"/>
  <c r="A416" i="34"/>
  <c r="R416" i="34"/>
  <c r="O416" i="34"/>
  <c r="S416" i="34"/>
  <c r="AA416" i="34"/>
  <c r="P416" i="34"/>
  <c r="T416" i="34"/>
  <c r="X416" i="34"/>
  <c r="Q416" i="34"/>
  <c r="A358" i="34"/>
  <c r="Q358" i="34"/>
  <c r="O358" i="34"/>
  <c r="AA358" i="34"/>
  <c r="P358" i="34"/>
  <c r="X358" i="34"/>
  <c r="A178" i="34"/>
  <c r="R178" i="34"/>
  <c r="O178" i="34"/>
  <c r="S178" i="34"/>
  <c r="AA178" i="34"/>
  <c r="P178" i="34"/>
  <c r="T178" i="34"/>
  <c r="X178" i="34"/>
  <c r="Q178" i="34"/>
  <c r="A187" i="34"/>
  <c r="P187" i="34"/>
  <c r="X187" i="34"/>
  <c r="Q187" i="34"/>
  <c r="O187" i="34"/>
  <c r="AA187" i="34"/>
  <c r="A327" i="34"/>
  <c r="O327" i="34"/>
  <c r="AA327" i="34"/>
  <c r="P327" i="34"/>
  <c r="X327" i="34"/>
  <c r="Q327" i="34"/>
  <c r="A334" i="34"/>
  <c r="Q334" i="34"/>
  <c r="O334" i="34"/>
  <c r="AA334" i="34"/>
  <c r="P334" i="34"/>
  <c r="X334" i="34"/>
  <c r="A452" i="34"/>
  <c r="O452" i="34"/>
  <c r="AA452" i="34"/>
  <c r="P452" i="34"/>
  <c r="X452" i="34"/>
  <c r="Q452" i="34"/>
  <c r="A412" i="34"/>
  <c r="O412" i="34"/>
  <c r="AA412" i="34"/>
  <c r="P412" i="34"/>
  <c r="X412" i="34"/>
  <c r="Q412" i="34"/>
  <c r="A386" i="34"/>
  <c r="Q386" i="34"/>
  <c r="O386" i="34"/>
  <c r="AA386" i="34"/>
  <c r="P386" i="34"/>
  <c r="X386" i="34"/>
  <c r="A357" i="34"/>
  <c r="O357" i="34"/>
  <c r="AA357" i="34"/>
  <c r="P357" i="34"/>
  <c r="X357" i="34"/>
  <c r="Q357" i="34"/>
  <c r="A126" i="34"/>
  <c r="Q126" i="34"/>
  <c r="R126" i="34"/>
  <c r="O126" i="34"/>
  <c r="S126" i="34"/>
  <c r="AA126" i="34"/>
  <c r="P126" i="34"/>
  <c r="T126" i="34"/>
  <c r="X126" i="34"/>
  <c r="A179" i="34"/>
  <c r="P179" i="34"/>
  <c r="T179" i="34"/>
  <c r="X179" i="34"/>
  <c r="Q179" i="34"/>
  <c r="R179" i="34"/>
  <c r="O179" i="34"/>
  <c r="S179" i="34"/>
  <c r="AA179" i="34"/>
  <c r="A234" i="34"/>
  <c r="O234" i="34"/>
  <c r="AA234" i="34"/>
  <c r="P234" i="34"/>
  <c r="X234" i="34"/>
  <c r="Q234" i="34"/>
  <c r="A251" i="34"/>
  <c r="P251" i="34"/>
  <c r="T251" i="34"/>
  <c r="X251" i="34"/>
  <c r="Q251" i="34"/>
  <c r="R251" i="34"/>
  <c r="O251" i="34"/>
  <c r="S251" i="34"/>
  <c r="AA251" i="34"/>
  <c r="A328" i="34"/>
  <c r="Q328" i="34"/>
  <c r="O328" i="34"/>
  <c r="AA328" i="34"/>
  <c r="P328" i="34"/>
  <c r="X328" i="34"/>
  <c r="A333" i="34"/>
  <c r="O333" i="34"/>
  <c r="AA333" i="34"/>
  <c r="P333" i="34"/>
  <c r="X333" i="34"/>
  <c r="Q333" i="34"/>
  <c r="A14" i="71"/>
  <c r="A36" i="71" s="1"/>
  <c r="B362" i="34"/>
  <c r="A19" i="71"/>
  <c r="B326" i="34"/>
  <c r="A20" i="71"/>
  <c r="B351" i="34"/>
  <c r="A17" i="71"/>
  <c r="B146" i="34"/>
  <c r="A18" i="71"/>
  <c r="B260" i="34"/>
  <c r="A16" i="71"/>
  <c r="B458" i="34"/>
  <c r="A15" i="71"/>
  <c r="B402" i="34"/>
  <c r="T10" i="34"/>
  <c r="A402" i="34" l="1"/>
  <c r="R402" i="34"/>
  <c r="O402" i="34"/>
  <c r="S402" i="34"/>
  <c r="AA402" i="34"/>
  <c r="P402" i="34"/>
  <c r="T402" i="34"/>
  <c r="X402" i="34"/>
  <c r="Q402" i="34"/>
  <c r="A260" i="34"/>
  <c r="O260" i="34"/>
  <c r="AA260" i="34"/>
  <c r="P260" i="34"/>
  <c r="X260" i="34"/>
  <c r="Q260" i="34"/>
  <c r="A351" i="34"/>
  <c r="O351" i="34"/>
  <c r="AA351" i="34"/>
  <c r="P351" i="34"/>
  <c r="X351" i="34"/>
  <c r="Q351" i="34"/>
  <c r="A362" i="34"/>
  <c r="Q362" i="34"/>
  <c r="O362" i="34"/>
  <c r="AA362" i="34"/>
  <c r="P362" i="34"/>
  <c r="X362" i="34"/>
  <c r="A458" i="34"/>
  <c r="O458" i="34"/>
  <c r="AA458" i="34"/>
  <c r="P458" i="34"/>
  <c r="X458" i="34"/>
  <c r="Q458" i="34"/>
  <c r="A146" i="34"/>
  <c r="Q146" i="34"/>
  <c r="O146" i="34"/>
  <c r="AA146" i="34"/>
  <c r="P146" i="34"/>
  <c r="X146" i="34"/>
  <c r="A326" i="34"/>
  <c r="Q326" i="34"/>
  <c r="O326" i="34"/>
  <c r="AA326" i="34"/>
  <c r="P326" i="34"/>
  <c r="X326" i="34"/>
  <c r="R10" i="34"/>
  <c r="B347" i="34" l="1"/>
  <c r="E6" i="43"/>
  <c r="O8" i="43"/>
  <c r="N8" i="43"/>
  <c r="A347" i="34" l="1"/>
  <c r="O347" i="34"/>
  <c r="AA347" i="34"/>
  <c r="P347" i="34"/>
  <c r="X347" i="34"/>
  <c r="Q347" i="34"/>
  <c r="D13" i="15"/>
  <c r="C13" i="15"/>
  <c r="B102" i="34"/>
  <c r="B158" i="34"/>
  <c r="B172" i="34"/>
  <c r="B184" i="34"/>
  <c r="B185" i="34"/>
  <c r="B204" i="34"/>
  <c r="B233" i="34"/>
  <c r="B243" i="34"/>
  <c r="B248" i="34"/>
  <c r="B259" i="34"/>
  <c r="B281" i="34"/>
  <c r="B323" i="34"/>
  <c r="B324" i="34"/>
  <c r="B329" i="34"/>
  <c r="B332" i="34"/>
  <c r="B340" i="34"/>
  <c r="B75" i="34"/>
  <c r="A324" i="34" l="1"/>
  <c r="Q324" i="34"/>
  <c r="O324" i="34"/>
  <c r="AA324" i="34"/>
  <c r="P324" i="34"/>
  <c r="X324" i="34"/>
  <c r="A340" i="34"/>
  <c r="Q340" i="34"/>
  <c r="O340" i="34"/>
  <c r="AA340" i="34"/>
  <c r="P340" i="34"/>
  <c r="X340" i="34"/>
  <c r="A323" i="34"/>
  <c r="O323" i="34"/>
  <c r="AA323" i="34"/>
  <c r="P323" i="34"/>
  <c r="X323" i="34"/>
  <c r="Q323" i="34"/>
  <c r="A243" i="34"/>
  <c r="P243" i="34"/>
  <c r="X243" i="34"/>
  <c r="Q243" i="34"/>
  <c r="O243" i="34"/>
  <c r="AA243" i="34"/>
  <c r="A184" i="34"/>
  <c r="O184" i="34"/>
  <c r="AA184" i="34"/>
  <c r="P184" i="34"/>
  <c r="X184" i="34"/>
  <c r="Q184" i="34"/>
  <c r="A332" i="34"/>
  <c r="Q332" i="34"/>
  <c r="O332" i="34"/>
  <c r="AA332" i="34"/>
  <c r="P332" i="34"/>
  <c r="X332" i="34"/>
  <c r="A281" i="34"/>
  <c r="Q281" i="34"/>
  <c r="O281" i="34"/>
  <c r="AA281" i="34"/>
  <c r="X281" i="34"/>
  <c r="P281" i="34"/>
  <c r="A233" i="34"/>
  <c r="P233" i="34"/>
  <c r="T233" i="34"/>
  <c r="X233" i="34"/>
  <c r="Q233" i="34"/>
  <c r="R233" i="34"/>
  <c r="O233" i="34"/>
  <c r="S233" i="34"/>
  <c r="AA233" i="34"/>
  <c r="A172" i="34"/>
  <c r="O172" i="34"/>
  <c r="AA172" i="34"/>
  <c r="P172" i="34"/>
  <c r="X172" i="34"/>
  <c r="Q172" i="34"/>
  <c r="A329" i="34"/>
  <c r="O329" i="34"/>
  <c r="AA329" i="34"/>
  <c r="P329" i="34"/>
  <c r="X329" i="34"/>
  <c r="Q329" i="34"/>
  <c r="A259" i="34"/>
  <c r="P259" i="34"/>
  <c r="X259" i="34"/>
  <c r="Q259" i="34"/>
  <c r="O259" i="34"/>
  <c r="AA259" i="34"/>
  <c r="A204" i="34"/>
  <c r="O204" i="34"/>
  <c r="AA204" i="34"/>
  <c r="P204" i="34"/>
  <c r="X204" i="34"/>
  <c r="Q204" i="34"/>
  <c r="A158" i="34"/>
  <c r="Q158" i="34"/>
  <c r="O158" i="34"/>
  <c r="P158" i="34"/>
  <c r="X158" i="34"/>
  <c r="AA158" i="34"/>
  <c r="A75" i="34"/>
  <c r="O75" i="34"/>
  <c r="AA75" i="34"/>
  <c r="P75" i="34"/>
  <c r="X75" i="34"/>
  <c r="Q75" i="34"/>
  <c r="A248" i="34"/>
  <c r="R248" i="34"/>
  <c r="O248" i="34"/>
  <c r="S248" i="34"/>
  <c r="AA248" i="34"/>
  <c r="P248" i="34"/>
  <c r="T248" i="34"/>
  <c r="X248" i="34"/>
  <c r="Q248" i="34"/>
  <c r="A185" i="34"/>
  <c r="P185" i="34"/>
  <c r="X185" i="34"/>
  <c r="Q185" i="34"/>
  <c r="O185" i="34"/>
  <c r="AA185" i="34"/>
  <c r="A102" i="34"/>
  <c r="P102" i="34"/>
  <c r="T102" i="34"/>
  <c r="X102" i="34"/>
  <c r="Q102" i="34"/>
  <c r="R102" i="34"/>
  <c r="O102" i="34"/>
  <c r="S102" i="34"/>
  <c r="AA102" i="34"/>
  <c r="B105" i="34"/>
  <c r="A16" i="72"/>
  <c r="C56" i="15"/>
  <c r="D56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840" i="34"/>
  <c r="B867" i="34"/>
  <c r="B848" i="34"/>
  <c r="B865" i="34"/>
  <c r="B864" i="34"/>
  <c r="B863" i="34"/>
  <c r="B862" i="34"/>
  <c r="B861" i="34"/>
  <c r="B860" i="34"/>
  <c r="B859" i="34"/>
  <c r="B858" i="34"/>
  <c r="B857" i="34"/>
  <c r="B855" i="34"/>
  <c r="B853" i="34"/>
  <c r="B846" i="34"/>
  <c r="B844" i="34"/>
  <c r="B842" i="34"/>
  <c r="B843" i="34"/>
  <c r="B841" i="34"/>
  <c r="A843" i="34" l="1"/>
  <c r="P843" i="34"/>
  <c r="T843" i="34"/>
  <c r="X843" i="34"/>
  <c r="Q843" i="34"/>
  <c r="R843" i="34"/>
  <c r="O843" i="34"/>
  <c r="S843" i="34"/>
  <c r="AA843" i="34"/>
  <c r="A842" i="34"/>
  <c r="R842" i="34"/>
  <c r="O842" i="34"/>
  <c r="S842" i="34"/>
  <c r="AA842" i="34"/>
  <c r="P842" i="34"/>
  <c r="T842" i="34"/>
  <c r="X842" i="34"/>
  <c r="Q842" i="34"/>
  <c r="A855" i="34"/>
  <c r="P855" i="34"/>
  <c r="T855" i="34"/>
  <c r="X855" i="34"/>
  <c r="Q855" i="34"/>
  <c r="R855" i="34"/>
  <c r="O855" i="34"/>
  <c r="S855" i="34"/>
  <c r="AA855" i="34"/>
  <c r="A860" i="34"/>
  <c r="O860" i="34"/>
  <c r="AA860" i="34"/>
  <c r="P860" i="34"/>
  <c r="X860" i="34"/>
  <c r="Q860" i="34"/>
  <c r="A864" i="34"/>
  <c r="O864" i="34"/>
  <c r="AA864" i="34"/>
  <c r="P864" i="34"/>
  <c r="X864" i="34"/>
  <c r="Q864" i="34"/>
  <c r="A840" i="34"/>
  <c r="R840" i="34"/>
  <c r="O840" i="34"/>
  <c r="S840" i="34"/>
  <c r="AA840" i="34"/>
  <c r="P840" i="34"/>
  <c r="T840" i="34"/>
  <c r="X840" i="34"/>
  <c r="Q840" i="34"/>
  <c r="A844" i="34"/>
  <c r="R844" i="34"/>
  <c r="O844" i="34"/>
  <c r="S844" i="34"/>
  <c r="AA844" i="34"/>
  <c r="P844" i="34"/>
  <c r="T844" i="34"/>
  <c r="X844" i="34"/>
  <c r="Q844" i="34"/>
  <c r="A857" i="34"/>
  <c r="P857" i="34"/>
  <c r="T857" i="34"/>
  <c r="X857" i="34"/>
  <c r="Q857" i="34"/>
  <c r="R857" i="34"/>
  <c r="O857" i="34"/>
  <c r="S857" i="34"/>
  <c r="AA857" i="34"/>
  <c r="A861" i="34"/>
  <c r="P861" i="34"/>
  <c r="X861" i="34"/>
  <c r="Q861" i="34"/>
  <c r="O861" i="34"/>
  <c r="AA861" i="34"/>
  <c r="A865" i="34"/>
  <c r="P865" i="34"/>
  <c r="X865" i="34"/>
  <c r="Q865" i="34"/>
  <c r="O865" i="34"/>
  <c r="AA865" i="34"/>
  <c r="A105" i="34"/>
  <c r="O105" i="34"/>
  <c r="AA105" i="34"/>
  <c r="P105" i="34"/>
  <c r="X105" i="34"/>
  <c r="Q105" i="34"/>
  <c r="A841" i="34"/>
  <c r="P841" i="34"/>
  <c r="T841" i="34"/>
  <c r="X841" i="34"/>
  <c r="Q841" i="34"/>
  <c r="R841" i="34"/>
  <c r="O841" i="34"/>
  <c r="S841" i="34"/>
  <c r="AA841" i="34"/>
  <c r="A846" i="34"/>
  <c r="R846" i="34"/>
  <c r="O846" i="34"/>
  <c r="S846" i="34"/>
  <c r="AA846" i="34"/>
  <c r="P846" i="34"/>
  <c r="T846" i="34"/>
  <c r="X846" i="34"/>
  <c r="Q846" i="34"/>
  <c r="A858" i="34"/>
  <c r="R858" i="34"/>
  <c r="O858" i="34"/>
  <c r="S858" i="34"/>
  <c r="AA858" i="34"/>
  <c r="P858" i="34"/>
  <c r="T858" i="34"/>
  <c r="X858" i="34"/>
  <c r="Q858" i="34"/>
  <c r="A862" i="34"/>
  <c r="O862" i="34"/>
  <c r="AA862" i="34"/>
  <c r="P862" i="34"/>
  <c r="X862" i="34"/>
  <c r="Q862" i="34"/>
  <c r="A848" i="34"/>
  <c r="O848" i="34"/>
  <c r="AA848" i="34"/>
  <c r="P848" i="34"/>
  <c r="X848" i="34"/>
  <c r="Q848" i="34"/>
  <c r="A853" i="34"/>
  <c r="P853" i="34"/>
  <c r="T853" i="34"/>
  <c r="X853" i="34"/>
  <c r="Q853" i="34"/>
  <c r="R853" i="34"/>
  <c r="O853" i="34"/>
  <c r="S853" i="34"/>
  <c r="AA853" i="34"/>
  <c r="A859" i="34"/>
  <c r="P859" i="34"/>
  <c r="T859" i="34"/>
  <c r="X859" i="34"/>
  <c r="Q859" i="34"/>
  <c r="R859" i="34"/>
  <c r="O859" i="34"/>
  <c r="S859" i="34"/>
  <c r="AA859" i="34"/>
  <c r="A863" i="34"/>
  <c r="P863" i="34"/>
  <c r="X863" i="34"/>
  <c r="Q863" i="34"/>
  <c r="O863" i="34"/>
  <c r="AA863" i="34"/>
  <c r="A867" i="34"/>
  <c r="P867" i="34"/>
  <c r="X867" i="34"/>
  <c r="Q867" i="34"/>
  <c r="O867" i="34"/>
  <c r="AA867" i="34"/>
  <c r="H25" i="72"/>
  <c r="A24" i="72"/>
  <c r="B542" i="34"/>
  <c r="B547" i="34"/>
  <c r="B545" i="34"/>
  <c r="B543" i="34"/>
  <c r="B598" i="34"/>
  <c r="B599" i="34"/>
  <c r="B594" i="34"/>
  <c r="B595" i="34"/>
  <c r="B596" i="34"/>
  <c r="B597" i="34"/>
  <c r="B694" i="34"/>
  <c r="B835" i="34"/>
  <c r="B836" i="34"/>
  <c r="B837" i="34"/>
  <c r="B838" i="34"/>
  <c r="B834" i="34"/>
  <c r="C23" i="34"/>
  <c r="B23" i="34" s="1"/>
  <c r="C22" i="34"/>
  <c r="B22" i="34" s="1"/>
  <c r="A22" i="34" s="1"/>
  <c r="C21" i="34"/>
  <c r="B21" i="34" s="1"/>
  <c r="A21" i="34" s="1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A23" i="34" l="1"/>
  <c r="O23" i="34"/>
  <c r="X23" i="34"/>
  <c r="Q23" i="34"/>
  <c r="AA23" i="34"/>
  <c r="P23" i="34"/>
  <c r="A792" i="34"/>
  <c r="R792" i="34"/>
  <c r="O792" i="34"/>
  <c r="S792" i="34"/>
  <c r="AA792" i="34"/>
  <c r="P792" i="34"/>
  <c r="T792" i="34"/>
  <c r="X792" i="34"/>
  <c r="Q792" i="34"/>
  <c r="A800" i="34"/>
  <c r="O800" i="34"/>
  <c r="AA800" i="34"/>
  <c r="P800" i="34"/>
  <c r="X800" i="34"/>
  <c r="Q800" i="34"/>
  <c r="A804" i="34"/>
  <c r="R804" i="34"/>
  <c r="O804" i="34"/>
  <c r="S804" i="34"/>
  <c r="AA804" i="34"/>
  <c r="P804" i="34"/>
  <c r="T804" i="34"/>
  <c r="X804" i="34"/>
  <c r="Q804" i="34"/>
  <c r="A808" i="34"/>
  <c r="R808" i="34"/>
  <c r="O808" i="34"/>
  <c r="S808" i="34"/>
  <c r="AA808" i="34"/>
  <c r="P808" i="34"/>
  <c r="T808" i="34"/>
  <c r="X808" i="34"/>
  <c r="Q808" i="34"/>
  <c r="A812" i="34"/>
  <c r="O812" i="34"/>
  <c r="AA812" i="34"/>
  <c r="P812" i="34"/>
  <c r="X812" i="34"/>
  <c r="Q812" i="34"/>
  <c r="A816" i="34"/>
  <c r="R816" i="34"/>
  <c r="O816" i="34"/>
  <c r="S816" i="34"/>
  <c r="AA816" i="34"/>
  <c r="P816" i="34"/>
  <c r="T816" i="34"/>
  <c r="X816" i="34"/>
  <c r="Q816" i="34"/>
  <c r="A820" i="34"/>
  <c r="R820" i="34"/>
  <c r="O820" i="34"/>
  <c r="S820" i="34"/>
  <c r="AA820" i="34"/>
  <c r="P820" i="34"/>
  <c r="T820" i="34"/>
  <c r="X820" i="34"/>
  <c r="Q820" i="34"/>
  <c r="A824" i="34"/>
  <c r="O824" i="34"/>
  <c r="AA824" i="34"/>
  <c r="P824" i="34"/>
  <c r="X824" i="34"/>
  <c r="Q824" i="34"/>
  <c r="A828" i="34"/>
  <c r="O828" i="34"/>
  <c r="AA828" i="34"/>
  <c r="P828" i="34"/>
  <c r="X828" i="34"/>
  <c r="Q828" i="34"/>
  <c r="A832" i="34"/>
  <c r="R832" i="34"/>
  <c r="O832" i="34"/>
  <c r="S832" i="34"/>
  <c r="AA832" i="34"/>
  <c r="P832" i="34"/>
  <c r="T832" i="34"/>
  <c r="X832" i="34"/>
  <c r="Q832" i="34"/>
  <c r="A836" i="34"/>
  <c r="R836" i="34"/>
  <c r="O836" i="34"/>
  <c r="S836" i="34"/>
  <c r="AA836" i="34"/>
  <c r="P836" i="34"/>
  <c r="T836" i="34"/>
  <c r="X836" i="34"/>
  <c r="Q836" i="34"/>
  <c r="A596" i="34"/>
  <c r="P596" i="34"/>
  <c r="X596" i="34"/>
  <c r="Q596" i="34"/>
  <c r="O596" i="34"/>
  <c r="AA596" i="34"/>
  <c r="A598" i="34"/>
  <c r="P598" i="34"/>
  <c r="X598" i="34"/>
  <c r="Q598" i="34"/>
  <c r="O598" i="34"/>
  <c r="AA598" i="34"/>
  <c r="A542" i="34"/>
  <c r="P542" i="34"/>
  <c r="T542" i="34"/>
  <c r="X542" i="34"/>
  <c r="Q542" i="34"/>
  <c r="R542" i="34"/>
  <c r="O542" i="34"/>
  <c r="S542" i="34"/>
  <c r="AA542" i="34"/>
  <c r="A788" i="34"/>
  <c r="O788" i="34"/>
  <c r="AA788" i="34"/>
  <c r="P788" i="34"/>
  <c r="X788" i="34"/>
  <c r="Q788" i="34"/>
  <c r="A789" i="34"/>
  <c r="P789" i="34"/>
  <c r="X789" i="34"/>
  <c r="Q789" i="34"/>
  <c r="O789" i="34"/>
  <c r="AA789" i="34"/>
  <c r="A797" i="34"/>
  <c r="P797" i="34"/>
  <c r="X797" i="34"/>
  <c r="Q797" i="34"/>
  <c r="O797" i="34"/>
  <c r="AA797" i="34"/>
  <c r="A801" i="34"/>
  <c r="P801" i="34"/>
  <c r="X801" i="34"/>
  <c r="Q801" i="34"/>
  <c r="O801" i="34"/>
  <c r="AA801" i="34"/>
  <c r="A805" i="34"/>
  <c r="P805" i="34"/>
  <c r="T805" i="34"/>
  <c r="X805" i="34"/>
  <c r="Q805" i="34"/>
  <c r="R805" i="34"/>
  <c r="O805" i="34"/>
  <c r="S805" i="34"/>
  <c r="AA805" i="34"/>
  <c r="A809" i="34"/>
  <c r="P809" i="34"/>
  <c r="T809" i="34"/>
  <c r="X809" i="34"/>
  <c r="Q809" i="34"/>
  <c r="R809" i="34"/>
  <c r="O809" i="34"/>
  <c r="S809" i="34"/>
  <c r="AA809" i="34"/>
  <c r="A813" i="34"/>
  <c r="P813" i="34"/>
  <c r="X813" i="34"/>
  <c r="Q813" i="34"/>
  <c r="O813" i="34"/>
  <c r="AA813" i="34"/>
  <c r="A817" i="34"/>
  <c r="P817" i="34"/>
  <c r="T817" i="34"/>
  <c r="X817" i="34"/>
  <c r="Q817" i="34"/>
  <c r="R817" i="34"/>
  <c r="O817" i="34"/>
  <c r="S817" i="34"/>
  <c r="AA817" i="34"/>
  <c r="A821" i="34"/>
  <c r="P821" i="34"/>
  <c r="T821" i="34"/>
  <c r="X821" i="34"/>
  <c r="Q821" i="34"/>
  <c r="R821" i="34"/>
  <c r="O821" i="34"/>
  <c r="S821" i="34"/>
  <c r="AA821" i="34"/>
  <c r="A825" i="34"/>
  <c r="P825" i="34"/>
  <c r="X825" i="34"/>
  <c r="Q825" i="34"/>
  <c r="O825" i="34"/>
  <c r="AA825" i="34"/>
  <c r="A829" i="34"/>
  <c r="P829" i="34"/>
  <c r="T829" i="34"/>
  <c r="X829" i="34"/>
  <c r="Q829" i="34"/>
  <c r="R829" i="34"/>
  <c r="O829" i="34"/>
  <c r="S829" i="34"/>
  <c r="AA829" i="34"/>
  <c r="A833" i="34"/>
  <c r="P833" i="34"/>
  <c r="T833" i="34"/>
  <c r="X833" i="34"/>
  <c r="Q833" i="34"/>
  <c r="R833" i="34"/>
  <c r="O833" i="34"/>
  <c r="S833" i="34"/>
  <c r="AA833" i="34"/>
  <c r="A834" i="34"/>
  <c r="R834" i="34"/>
  <c r="O834" i="34"/>
  <c r="S834" i="34"/>
  <c r="AA834" i="34"/>
  <c r="P834" i="34"/>
  <c r="T834" i="34"/>
  <c r="X834" i="34"/>
  <c r="Q834" i="34"/>
  <c r="A835" i="34"/>
  <c r="P835" i="34"/>
  <c r="T835" i="34"/>
  <c r="X835" i="34"/>
  <c r="Q835" i="34"/>
  <c r="R835" i="34"/>
  <c r="O835" i="34"/>
  <c r="S835" i="34"/>
  <c r="AA835" i="34"/>
  <c r="A595" i="34"/>
  <c r="O595" i="34"/>
  <c r="AA595" i="34"/>
  <c r="P595" i="34"/>
  <c r="X595" i="34"/>
  <c r="Q595" i="34"/>
  <c r="A543" i="34"/>
  <c r="R543" i="34"/>
  <c r="O543" i="34"/>
  <c r="S543" i="34"/>
  <c r="AA543" i="34"/>
  <c r="P543" i="34"/>
  <c r="T543" i="34"/>
  <c r="X543" i="34"/>
  <c r="Q543" i="34"/>
  <c r="A785" i="34"/>
  <c r="P785" i="34"/>
  <c r="X785" i="34"/>
  <c r="Q785" i="34"/>
  <c r="O785" i="34"/>
  <c r="AA785" i="34"/>
  <c r="A786" i="34"/>
  <c r="O786" i="34"/>
  <c r="AA786" i="34"/>
  <c r="P786" i="34"/>
  <c r="X786" i="34"/>
  <c r="Q786" i="34"/>
  <c r="A794" i="34"/>
  <c r="O794" i="34"/>
  <c r="AA794" i="34"/>
  <c r="P794" i="34"/>
  <c r="X794" i="34"/>
  <c r="Q794" i="34"/>
  <c r="A802" i="34"/>
  <c r="O802" i="34"/>
  <c r="AA802" i="34"/>
  <c r="P802" i="34"/>
  <c r="X802" i="34"/>
  <c r="Q802" i="34"/>
  <c r="A806" i="34"/>
  <c r="R806" i="34"/>
  <c r="O806" i="34"/>
  <c r="S806" i="34"/>
  <c r="AA806" i="34"/>
  <c r="P806" i="34"/>
  <c r="T806" i="34"/>
  <c r="X806" i="34"/>
  <c r="Q806" i="34"/>
  <c r="A810" i="34"/>
  <c r="O810" i="34"/>
  <c r="AA810" i="34"/>
  <c r="P810" i="34"/>
  <c r="X810" i="34"/>
  <c r="Q810" i="34"/>
  <c r="A814" i="34"/>
  <c r="R814" i="34"/>
  <c r="O814" i="34"/>
  <c r="S814" i="34"/>
  <c r="AA814" i="34"/>
  <c r="P814" i="34"/>
  <c r="T814" i="34"/>
  <c r="X814" i="34"/>
  <c r="Q814" i="34"/>
  <c r="A818" i="34"/>
  <c r="R818" i="34"/>
  <c r="O818" i="34"/>
  <c r="S818" i="34"/>
  <c r="AA818" i="34"/>
  <c r="P818" i="34"/>
  <c r="T818" i="34"/>
  <c r="X818" i="34"/>
  <c r="Q818" i="34"/>
  <c r="A822" i="34"/>
  <c r="R822" i="34"/>
  <c r="O822" i="34"/>
  <c r="S822" i="34"/>
  <c r="AA822" i="34"/>
  <c r="P822" i="34"/>
  <c r="T822" i="34"/>
  <c r="X822" i="34"/>
  <c r="Q822" i="34"/>
  <c r="A826" i="34"/>
  <c r="R826" i="34"/>
  <c r="O826" i="34"/>
  <c r="S826" i="34"/>
  <c r="AA826" i="34"/>
  <c r="P826" i="34"/>
  <c r="T826" i="34"/>
  <c r="X826" i="34"/>
  <c r="Q826" i="34"/>
  <c r="A830" i="34"/>
  <c r="R830" i="34"/>
  <c r="O830" i="34"/>
  <c r="S830" i="34"/>
  <c r="AA830" i="34"/>
  <c r="P830" i="34"/>
  <c r="T830" i="34"/>
  <c r="X830" i="34"/>
  <c r="Q830" i="34"/>
  <c r="A838" i="34"/>
  <c r="O838" i="34"/>
  <c r="AA838" i="34"/>
  <c r="P838" i="34"/>
  <c r="X838" i="34"/>
  <c r="Q838" i="34"/>
  <c r="A694" i="34"/>
  <c r="Q694" i="34"/>
  <c r="R694" i="34"/>
  <c r="O694" i="34"/>
  <c r="S694" i="34"/>
  <c r="AA694" i="34"/>
  <c r="P694" i="34"/>
  <c r="T694" i="34"/>
  <c r="X694" i="34"/>
  <c r="A594" i="34"/>
  <c r="P594" i="34"/>
  <c r="X594" i="34"/>
  <c r="Q594" i="34"/>
  <c r="O594" i="34"/>
  <c r="AA594" i="34"/>
  <c r="A545" i="34"/>
  <c r="O545" i="34"/>
  <c r="AA545" i="34"/>
  <c r="P545" i="34"/>
  <c r="X545" i="34"/>
  <c r="Q545" i="34"/>
  <c r="A784" i="34"/>
  <c r="O784" i="34"/>
  <c r="AA784" i="34"/>
  <c r="P784" i="34"/>
  <c r="X784" i="34"/>
  <c r="Q784" i="34"/>
  <c r="A796" i="34"/>
  <c r="O796" i="34"/>
  <c r="AA796" i="34"/>
  <c r="P796" i="34"/>
  <c r="X796" i="34"/>
  <c r="Q796" i="34"/>
  <c r="A793" i="34"/>
  <c r="P793" i="34"/>
  <c r="X793" i="34"/>
  <c r="Q793" i="34"/>
  <c r="O793" i="34"/>
  <c r="AA793" i="34"/>
  <c r="A790" i="34"/>
  <c r="O790" i="34"/>
  <c r="AA790" i="34"/>
  <c r="P790" i="34"/>
  <c r="X790" i="34"/>
  <c r="Q790" i="34"/>
  <c r="A798" i="34"/>
  <c r="O798" i="34"/>
  <c r="AA798" i="34"/>
  <c r="P798" i="34"/>
  <c r="X798" i="34"/>
  <c r="Q798" i="34"/>
  <c r="A783" i="34"/>
  <c r="P783" i="34"/>
  <c r="T783" i="34"/>
  <c r="X783" i="34"/>
  <c r="Q783" i="34"/>
  <c r="R783" i="34"/>
  <c r="O783" i="34"/>
  <c r="S783" i="34"/>
  <c r="AA783" i="34"/>
  <c r="A787" i="34"/>
  <c r="P787" i="34"/>
  <c r="X787" i="34"/>
  <c r="Q787" i="34"/>
  <c r="O787" i="34"/>
  <c r="AA787" i="34"/>
  <c r="A791" i="34"/>
  <c r="P791" i="34"/>
  <c r="X791" i="34"/>
  <c r="Q791" i="34"/>
  <c r="O791" i="34"/>
  <c r="AA791" i="34"/>
  <c r="A795" i="34"/>
  <c r="P795" i="34"/>
  <c r="X795" i="34"/>
  <c r="Q795" i="34"/>
  <c r="O795" i="34"/>
  <c r="AA795" i="34"/>
  <c r="A799" i="34"/>
  <c r="P799" i="34"/>
  <c r="X799" i="34"/>
  <c r="Q799" i="34"/>
  <c r="O799" i="34"/>
  <c r="AA799" i="34"/>
  <c r="A803" i="34"/>
  <c r="P803" i="34"/>
  <c r="T803" i="34"/>
  <c r="X803" i="34"/>
  <c r="Q803" i="34"/>
  <c r="R803" i="34"/>
  <c r="O803" i="34"/>
  <c r="S803" i="34"/>
  <c r="AA803" i="34"/>
  <c r="A807" i="34"/>
  <c r="P807" i="34"/>
  <c r="T807" i="34"/>
  <c r="X807" i="34"/>
  <c r="Q807" i="34"/>
  <c r="R807" i="34"/>
  <c r="O807" i="34"/>
  <c r="S807" i="34"/>
  <c r="AA807" i="34"/>
  <c r="A811" i="34"/>
  <c r="P811" i="34"/>
  <c r="X811" i="34"/>
  <c r="Q811" i="34"/>
  <c r="O811" i="34"/>
  <c r="AA811" i="34"/>
  <c r="A815" i="34"/>
  <c r="P815" i="34"/>
  <c r="T815" i="34"/>
  <c r="X815" i="34"/>
  <c r="Q815" i="34"/>
  <c r="R815" i="34"/>
  <c r="O815" i="34"/>
  <c r="S815" i="34"/>
  <c r="AA815" i="34"/>
  <c r="A819" i="34"/>
  <c r="P819" i="34"/>
  <c r="T819" i="34"/>
  <c r="X819" i="34"/>
  <c r="Q819" i="34"/>
  <c r="R819" i="34"/>
  <c r="O819" i="34"/>
  <c r="S819" i="34"/>
  <c r="AA819" i="34"/>
  <c r="A823" i="34"/>
  <c r="P823" i="34"/>
  <c r="T823" i="34"/>
  <c r="X823" i="34"/>
  <c r="Q823" i="34"/>
  <c r="R823" i="34"/>
  <c r="O823" i="34"/>
  <c r="S823" i="34"/>
  <c r="AA823" i="34"/>
  <c r="A827" i="34"/>
  <c r="P827" i="34"/>
  <c r="X827" i="34"/>
  <c r="Q827" i="34"/>
  <c r="O827" i="34"/>
  <c r="AA827" i="34"/>
  <c r="A831" i="34"/>
  <c r="P831" i="34"/>
  <c r="T831" i="34"/>
  <c r="X831" i="34"/>
  <c r="Q831" i="34"/>
  <c r="R831" i="34"/>
  <c r="O831" i="34"/>
  <c r="S831" i="34"/>
  <c r="AA831" i="34"/>
  <c r="A837" i="34"/>
  <c r="P837" i="34"/>
  <c r="X837" i="34"/>
  <c r="Q837" i="34"/>
  <c r="O837" i="34"/>
  <c r="AA837" i="34"/>
  <c r="A597" i="34"/>
  <c r="O597" i="34"/>
  <c r="AA597" i="34"/>
  <c r="P597" i="34"/>
  <c r="X597" i="34"/>
  <c r="Q597" i="34"/>
  <c r="A599" i="34"/>
  <c r="O599" i="34"/>
  <c r="AA599" i="34"/>
  <c r="P599" i="34"/>
  <c r="X599" i="34"/>
  <c r="Q599" i="34"/>
  <c r="A547" i="34"/>
  <c r="O547" i="34"/>
  <c r="AA547" i="34"/>
  <c r="P547" i="34"/>
  <c r="X547" i="34"/>
  <c r="Q547" i="34"/>
  <c r="P22" i="34"/>
  <c r="Q22" i="34"/>
  <c r="O22" i="34"/>
  <c r="AA22" i="34"/>
  <c r="O21" i="34"/>
  <c r="AA21" i="34"/>
  <c r="P21" i="34"/>
  <c r="Q21" i="34"/>
  <c r="B709" i="34"/>
  <c r="B710" i="34"/>
  <c r="B707" i="34"/>
  <c r="B708" i="34"/>
  <c r="A707" i="34" l="1"/>
  <c r="O707" i="34"/>
  <c r="S707" i="34"/>
  <c r="AA707" i="34"/>
  <c r="P707" i="34"/>
  <c r="T707" i="34"/>
  <c r="X707" i="34"/>
  <c r="Q707" i="34"/>
  <c r="R707" i="34"/>
  <c r="A709" i="34"/>
  <c r="O709" i="34"/>
  <c r="AA709" i="34"/>
  <c r="P709" i="34"/>
  <c r="X709" i="34"/>
  <c r="Q709" i="34"/>
  <c r="A708" i="34"/>
  <c r="Q708" i="34"/>
  <c r="O708" i="34"/>
  <c r="AA708" i="34"/>
  <c r="P708" i="34"/>
  <c r="X708" i="34"/>
  <c r="A710" i="34"/>
  <c r="Q710" i="34"/>
  <c r="R710" i="34"/>
  <c r="O710" i="34"/>
  <c r="S710" i="34"/>
  <c r="AA710" i="34"/>
  <c r="P710" i="34"/>
  <c r="T710" i="34"/>
  <c r="X710" i="34"/>
  <c r="B779" i="34"/>
  <c r="B781" i="34"/>
  <c r="B778" i="34"/>
  <c r="B780" i="34"/>
  <c r="B782" i="34"/>
  <c r="B763" i="34"/>
  <c r="A778" i="34" l="1"/>
  <c r="O778" i="34"/>
  <c r="AA778" i="34"/>
  <c r="P778" i="34"/>
  <c r="X778" i="34"/>
  <c r="Q778" i="34"/>
  <c r="A763" i="34"/>
  <c r="P763" i="34"/>
  <c r="X763" i="34"/>
  <c r="Q763" i="34"/>
  <c r="O763" i="34"/>
  <c r="AA763" i="34"/>
  <c r="A781" i="34"/>
  <c r="P781" i="34"/>
  <c r="T781" i="34"/>
  <c r="X781" i="34"/>
  <c r="Q781" i="34"/>
  <c r="R781" i="34"/>
  <c r="O781" i="34"/>
  <c r="S781" i="34"/>
  <c r="AA781" i="34"/>
  <c r="A782" i="34"/>
  <c r="R782" i="34"/>
  <c r="O782" i="34"/>
  <c r="S782" i="34"/>
  <c r="AA782" i="34"/>
  <c r="P782" i="34"/>
  <c r="T782" i="34"/>
  <c r="X782" i="34"/>
  <c r="Q782" i="34"/>
  <c r="A779" i="34"/>
  <c r="P779" i="34"/>
  <c r="T779" i="34"/>
  <c r="X779" i="34"/>
  <c r="Q779" i="34"/>
  <c r="R779" i="34"/>
  <c r="O779" i="34"/>
  <c r="S779" i="34"/>
  <c r="AA779" i="34"/>
  <c r="A780" i="34"/>
  <c r="R780" i="34"/>
  <c r="O780" i="34"/>
  <c r="S780" i="34"/>
  <c r="AA780" i="34"/>
  <c r="P780" i="34"/>
  <c r="T780" i="34"/>
  <c r="X780" i="34"/>
  <c r="Q780" i="34"/>
  <c r="B533" i="34" l="1"/>
  <c r="B534" i="34"/>
  <c r="B535" i="34"/>
  <c r="B536" i="34"/>
  <c r="B537" i="34"/>
  <c r="B538" i="34"/>
  <c r="B539" i="34"/>
  <c r="B540" i="34"/>
  <c r="B541" i="34"/>
  <c r="B544" i="34"/>
  <c r="B546" i="34"/>
  <c r="B548" i="34"/>
  <c r="B549" i="34"/>
  <c r="B550" i="34"/>
  <c r="B551" i="34"/>
  <c r="B553" i="34"/>
  <c r="B554" i="34"/>
  <c r="B555" i="34"/>
  <c r="B556" i="34"/>
  <c r="B557" i="34"/>
  <c r="B552" i="34"/>
  <c r="B558" i="34"/>
  <c r="B559" i="34"/>
  <c r="B560" i="34"/>
  <c r="B561" i="34"/>
  <c r="B562" i="34"/>
  <c r="B563" i="34"/>
  <c r="B564" i="34"/>
  <c r="B565" i="34"/>
  <c r="B566" i="34"/>
  <c r="B567" i="34"/>
  <c r="B568" i="34"/>
  <c r="B570" i="34"/>
  <c r="B571" i="34"/>
  <c r="B572" i="34"/>
  <c r="B573" i="34"/>
  <c r="B574" i="34"/>
  <c r="B575" i="34"/>
  <c r="B576" i="34"/>
  <c r="B569" i="34"/>
  <c r="B577" i="34"/>
  <c r="B578" i="34"/>
  <c r="B579" i="34"/>
  <c r="B580" i="34"/>
  <c r="B581" i="34"/>
  <c r="B583" i="34"/>
  <c r="B584" i="34"/>
  <c r="B582" i="34"/>
  <c r="B585" i="34"/>
  <c r="B586" i="34"/>
  <c r="B587" i="34"/>
  <c r="B588" i="34"/>
  <c r="B589" i="34"/>
  <c r="B590" i="34"/>
  <c r="B591" i="34"/>
  <c r="B592" i="34"/>
  <c r="B593" i="34"/>
  <c r="B600" i="34"/>
  <c r="B601" i="34"/>
  <c r="B639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2" i="34"/>
  <c r="B663" i="34"/>
  <c r="B664" i="34"/>
  <c r="B665" i="34"/>
  <c r="B666" i="34"/>
  <c r="B667" i="34"/>
  <c r="B668" i="34"/>
  <c r="B669" i="34"/>
  <c r="B670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5" i="34"/>
  <c r="B696" i="34"/>
  <c r="B697" i="34"/>
  <c r="B698" i="34"/>
  <c r="B699" i="34"/>
  <c r="B700" i="34"/>
  <c r="B701" i="34"/>
  <c r="B702" i="34"/>
  <c r="B703" i="34"/>
  <c r="B704" i="34"/>
  <c r="B705" i="34"/>
  <c r="B711" i="34"/>
  <c r="B706" i="34"/>
  <c r="B839" i="34"/>
  <c r="B845" i="34"/>
  <c r="B847" i="34"/>
  <c r="A845" i="34" l="1"/>
  <c r="P845" i="34"/>
  <c r="T845" i="34"/>
  <c r="X845" i="34"/>
  <c r="Q845" i="34"/>
  <c r="R845" i="34"/>
  <c r="O845" i="34"/>
  <c r="S845" i="34"/>
  <c r="AA845" i="34"/>
  <c r="A705" i="34"/>
  <c r="O705" i="34"/>
  <c r="AA705" i="34"/>
  <c r="P705" i="34"/>
  <c r="X705" i="34"/>
  <c r="Q705" i="34"/>
  <c r="A701" i="34"/>
  <c r="O701" i="34"/>
  <c r="AA701" i="34"/>
  <c r="P701" i="34"/>
  <c r="X701" i="34"/>
  <c r="Q701" i="34"/>
  <c r="A697" i="34"/>
  <c r="O697" i="34"/>
  <c r="AA697" i="34"/>
  <c r="P697" i="34"/>
  <c r="X697" i="34"/>
  <c r="Q697" i="34"/>
  <c r="A692" i="34"/>
  <c r="Q692" i="34"/>
  <c r="O692" i="34"/>
  <c r="AA692" i="34"/>
  <c r="P692" i="34"/>
  <c r="X692" i="34"/>
  <c r="A688" i="34"/>
  <c r="Q688" i="34"/>
  <c r="O688" i="34"/>
  <c r="AA688" i="34"/>
  <c r="P688" i="34"/>
  <c r="X688" i="34"/>
  <c r="A684" i="34"/>
  <c r="Q684" i="34"/>
  <c r="O684" i="34"/>
  <c r="AA684" i="34"/>
  <c r="P684" i="34"/>
  <c r="X684" i="34"/>
  <c r="A680" i="34"/>
  <c r="Q680" i="34"/>
  <c r="R680" i="34"/>
  <c r="O680" i="34"/>
  <c r="S680" i="34"/>
  <c r="AA680" i="34"/>
  <c r="P680" i="34"/>
  <c r="T680" i="34"/>
  <c r="X680" i="34"/>
  <c r="A676" i="34"/>
  <c r="Q676" i="34"/>
  <c r="O676" i="34"/>
  <c r="AA676" i="34"/>
  <c r="P676" i="34"/>
  <c r="X676" i="34"/>
  <c r="A672" i="34"/>
  <c r="Q672" i="34"/>
  <c r="R672" i="34"/>
  <c r="O672" i="34"/>
  <c r="S672" i="34"/>
  <c r="AA672" i="34"/>
  <c r="P672" i="34"/>
  <c r="T672" i="34"/>
  <c r="X672" i="34"/>
  <c r="A667" i="34"/>
  <c r="O667" i="34"/>
  <c r="AA667" i="34"/>
  <c r="P667" i="34"/>
  <c r="X667" i="34"/>
  <c r="Q667" i="34"/>
  <c r="A663" i="34"/>
  <c r="O663" i="34"/>
  <c r="AA663" i="34"/>
  <c r="P663" i="34"/>
  <c r="X663" i="34"/>
  <c r="Q663" i="34"/>
  <c r="A659" i="34"/>
  <c r="O659" i="34"/>
  <c r="AA659" i="34"/>
  <c r="P659" i="34"/>
  <c r="X659" i="34"/>
  <c r="Q659" i="34"/>
  <c r="A655" i="34"/>
  <c r="O655" i="34"/>
  <c r="S655" i="34"/>
  <c r="AA655" i="34"/>
  <c r="P655" i="34"/>
  <c r="T655" i="34"/>
  <c r="X655" i="34"/>
  <c r="Q655" i="34"/>
  <c r="R655" i="34"/>
  <c r="A651" i="34"/>
  <c r="O651" i="34"/>
  <c r="S651" i="34"/>
  <c r="AA651" i="34"/>
  <c r="P651" i="34"/>
  <c r="T651" i="34"/>
  <c r="X651" i="34"/>
  <c r="Q651" i="34"/>
  <c r="R651" i="34"/>
  <c r="A647" i="34"/>
  <c r="O647" i="34"/>
  <c r="AA647" i="34"/>
  <c r="P647" i="34"/>
  <c r="X647" i="34"/>
  <c r="Q647" i="34"/>
  <c r="A643" i="34"/>
  <c r="O643" i="34"/>
  <c r="S643" i="34"/>
  <c r="AA643" i="34"/>
  <c r="P643" i="34"/>
  <c r="T643" i="34"/>
  <c r="X643" i="34"/>
  <c r="Q643" i="34"/>
  <c r="R643" i="34"/>
  <c r="A638" i="34"/>
  <c r="Q638" i="34"/>
  <c r="O638" i="34"/>
  <c r="AA638" i="34"/>
  <c r="P638" i="34"/>
  <c r="X638" i="34"/>
  <c r="A634" i="34"/>
  <c r="Q634" i="34"/>
  <c r="O634" i="34"/>
  <c r="AA634" i="34"/>
  <c r="P634" i="34"/>
  <c r="X634" i="34"/>
  <c r="A630" i="34"/>
  <c r="Q630" i="34"/>
  <c r="O630" i="34"/>
  <c r="AA630" i="34"/>
  <c r="P630" i="34"/>
  <c r="X630" i="34"/>
  <c r="A626" i="34"/>
  <c r="Q626" i="34"/>
  <c r="O626" i="34"/>
  <c r="AA626" i="34"/>
  <c r="P626" i="34"/>
  <c r="X626" i="34"/>
  <c r="A622" i="34"/>
  <c r="Q622" i="34"/>
  <c r="R622" i="34"/>
  <c r="O622" i="34"/>
  <c r="S622" i="34"/>
  <c r="AA622" i="34"/>
  <c r="P622" i="34"/>
  <c r="T622" i="34"/>
  <c r="X622" i="34"/>
  <c r="A618" i="34"/>
  <c r="O618" i="34"/>
  <c r="AA618" i="34"/>
  <c r="P618" i="34"/>
  <c r="X618" i="34"/>
  <c r="Q618" i="34"/>
  <c r="A614" i="34"/>
  <c r="O614" i="34"/>
  <c r="AA614" i="34"/>
  <c r="Q614" i="34"/>
  <c r="P614" i="34"/>
  <c r="X614" i="34"/>
  <c r="A610" i="34"/>
  <c r="O610" i="34"/>
  <c r="AA610" i="34"/>
  <c r="P610" i="34"/>
  <c r="X610" i="34"/>
  <c r="Q610" i="34"/>
  <c r="A606" i="34"/>
  <c r="P606" i="34"/>
  <c r="X606" i="34"/>
  <c r="Q606" i="34"/>
  <c r="O606" i="34"/>
  <c r="AA606" i="34"/>
  <c r="A639" i="34"/>
  <c r="O639" i="34"/>
  <c r="S639" i="34"/>
  <c r="AA639" i="34"/>
  <c r="P639" i="34"/>
  <c r="T639" i="34"/>
  <c r="X639" i="34"/>
  <c r="Q639" i="34"/>
  <c r="R639" i="34"/>
  <c r="A592" i="34"/>
  <c r="P592" i="34"/>
  <c r="T592" i="34"/>
  <c r="X592" i="34"/>
  <c r="Q592" i="34"/>
  <c r="R592" i="34"/>
  <c r="O592" i="34"/>
  <c r="S592" i="34"/>
  <c r="AA592" i="34"/>
  <c r="A588" i="34"/>
  <c r="P588" i="34"/>
  <c r="X588" i="34"/>
  <c r="Q588" i="34"/>
  <c r="O588" i="34"/>
  <c r="AA588" i="34"/>
  <c r="A582" i="34"/>
  <c r="P582" i="34"/>
  <c r="T582" i="34"/>
  <c r="X582" i="34"/>
  <c r="Q582" i="34"/>
  <c r="R582" i="34"/>
  <c r="O582" i="34"/>
  <c r="S582" i="34"/>
  <c r="AA582" i="34"/>
  <c r="A580" i="34"/>
  <c r="P580" i="34"/>
  <c r="X580" i="34"/>
  <c r="Q580" i="34"/>
  <c r="O580" i="34"/>
  <c r="AA580" i="34"/>
  <c r="A569" i="34"/>
  <c r="O569" i="34"/>
  <c r="AA569" i="34"/>
  <c r="P569" i="34"/>
  <c r="X569" i="34"/>
  <c r="Q569" i="34"/>
  <c r="A573" i="34"/>
  <c r="O573" i="34"/>
  <c r="AA573" i="34"/>
  <c r="P573" i="34"/>
  <c r="X573" i="34"/>
  <c r="Q573" i="34"/>
  <c r="A568" i="34"/>
  <c r="P568" i="34"/>
  <c r="X568" i="34"/>
  <c r="Q568" i="34"/>
  <c r="O568" i="34"/>
  <c r="AA568" i="34"/>
  <c r="A564" i="34"/>
  <c r="P564" i="34"/>
  <c r="X564" i="34"/>
  <c r="Q564" i="34"/>
  <c r="O564" i="34"/>
  <c r="AA564" i="34"/>
  <c r="A560" i="34"/>
  <c r="P560" i="34"/>
  <c r="X560" i="34"/>
  <c r="Q560" i="34"/>
  <c r="O560" i="34"/>
  <c r="AA560" i="34"/>
  <c r="A557" i="34"/>
  <c r="O557" i="34"/>
  <c r="AA557" i="34"/>
  <c r="P557" i="34"/>
  <c r="X557" i="34"/>
  <c r="Q557" i="34"/>
  <c r="A553" i="34"/>
  <c r="O553" i="34"/>
  <c r="AA553" i="34"/>
  <c r="P553" i="34"/>
  <c r="X553" i="34"/>
  <c r="Q553" i="34"/>
  <c r="A548" i="34"/>
  <c r="P548" i="34"/>
  <c r="X548" i="34"/>
  <c r="Q548" i="34"/>
  <c r="O548" i="34"/>
  <c r="AA548" i="34"/>
  <c r="A540" i="34"/>
  <c r="P540" i="34"/>
  <c r="T540" i="34"/>
  <c r="X540" i="34"/>
  <c r="Q540" i="34"/>
  <c r="R540" i="34"/>
  <c r="O540" i="34"/>
  <c r="S540" i="34"/>
  <c r="AA540" i="34"/>
  <c r="A536" i="34"/>
  <c r="P536" i="34"/>
  <c r="X536" i="34"/>
  <c r="Q536" i="34"/>
  <c r="O536" i="34"/>
  <c r="AA536" i="34"/>
  <c r="A839" i="34"/>
  <c r="P839" i="34"/>
  <c r="T839" i="34"/>
  <c r="X839" i="34"/>
  <c r="Q839" i="34"/>
  <c r="R839" i="34"/>
  <c r="O839" i="34"/>
  <c r="S839" i="34"/>
  <c r="AA839" i="34"/>
  <c r="A704" i="34"/>
  <c r="Q704" i="34"/>
  <c r="O704" i="34"/>
  <c r="AA704" i="34"/>
  <c r="P704" i="34"/>
  <c r="X704" i="34"/>
  <c r="A700" i="34"/>
  <c r="Q700" i="34"/>
  <c r="O700" i="34"/>
  <c r="AA700" i="34"/>
  <c r="P700" i="34"/>
  <c r="X700" i="34"/>
  <c r="A696" i="34"/>
  <c r="Q696" i="34"/>
  <c r="O696" i="34"/>
  <c r="AA696" i="34"/>
  <c r="P696" i="34"/>
  <c r="X696" i="34"/>
  <c r="A691" i="34"/>
  <c r="O691" i="34"/>
  <c r="AA691" i="34"/>
  <c r="P691" i="34"/>
  <c r="X691" i="34"/>
  <c r="Q691" i="34"/>
  <c r="A687" i="34"/>
  <c r="O687" i="34"/>
  <c r="AA687" i="34"/>
  <c r="P687" i="34"/>
  <c r="X687" i="34"/>
  <c r="Q687" i="34"/>
  <c r="A683" i="34"/>
  <c r="O683" i="34"/>
  <c r="AA683" i="34"/>
  <c r="P683" i="34"/>
  <c r="X683" i="34"/>
  <c r="Q683" i="34"/>
  <c r="A679" i="34"/>
  <c r="O679" i="34"/>
  <c r="AA679" i="34"/>
  <c r="P679" i="34"/>
  <c r="X679" i="34"/>
  <c r="Q679" i="34"/>
  <c r="A675" i="34"/>
  <c r="O675" i="34"/>
  <c r="S675" i="34"/>
  <c r="AA675" i="34"/>
  <c r="P675" i="34"/>
  <c r="T675" i="34"/>
  <c r="X675" i="34"/>
  <c r="Q675" i="34"/>
  <c r="R675" i="34"/>
  <c r="A670" i="34"/>
  <c r="Q670" i="34"/>
  <c r="O670" i="34"/>
  <c r="AA670" i="34"/>
  <c r="P670" i="34"/>
  <c r="X670" i="34"/>
  <c r="A666" i="34"/>
  <c r="Q666" i="34"/>
  <c r="O666" i="34"/>
  <c r="AA666" i="34"/>
  <c r="P666" i="34"/>
  <c r="X666" i="34"/>
  <c r="A662" i="34"/>
  <c r="Q662" i="34"/>
  <c r="O662" i="34"/>
  <c r="AA662" i="34"/>
  <c r="P662" i="34"/>
  <c r="X662" i="34"/>
  <c r="A658" i="34"/>
  <c r="Q658" i="34"/>
  <c r="O658" i="34"/>
  <c r="AA658" i="34"/>
  <c r="P658" i="34"/>
  <c r="X658" i="34"/>
  <c r="A654" i="34"/>
  <c r="Q654" i="34"/>
  <c r="R654" i="34"/>
  <c r="O654" i="34"/>
  <c r="S654" i="34"/>
  <c r="AA654" i="34"/>
  <c r="P654" i="34"/>
  <c r="T654" i="34"/>
  <c r="X654" i="34"/>
  <c r="A650" i="34"/>
  <c r="Q650" i="34"/>
  <c r="O650" i="34"/>
  <c r="AA650" i="34"/>
  <c r="P650" i="34"/>
  <c r="X650" i="34"/>
  <c r="A646" i="34"/>
  <c r="Q646" i="34"/>
  <c r="O646" i="34"/>
  <c r="AA646" i="34"/>
  <c r="P646" i="34"/>
  <c r="X646" i="34"/>
  <c r="A642" i="34"/>
  <c r="Q642" i="34"/>
  <c r="R642" i="34"/>
  <c r="O642" i="34"/>
  <c r="S642" i="34"/>
  <c r="AA642" i="34"/>
  <c r="P642" i="34"/>
  <c r="T642" i="34"/>
  <c r="X642" i="34"/>
  <c r="A637" i="34"/>
  <c r="O637" i="34"/>
  <c r="AA637" i="34"/>
  <c r="P637" i="34"/>
  <c r="X637" i="34"/>
  <c r="Q637" i="34"/>
  <c r="A633" i="34"/>
  <c r="O633" i="34"/>
  <c r="S633" i="34"/>
  <c r="AA633" i="34"/>
  <c r="P633" i="34"/>
  <c r="T633" i="34"/>
  <c r="X633" i="34"/>
  <c r="Q633" i="34"/>
  <c r="R633" i="34"/>
  <c r="A629" i="34"/>
  <c r="O629" i="34"/>
  <c r="AA629" i="34"/>
  <c r="P629" i="34"/>
  <c r="X629" i="34"/>
  <c r="Q629" i="34"/>
  <c r="A625" i="34"/>
  <c r="O625" i="34"/>
  <c r="S625" i="34"/>
  <c r="AA625" i="34"/>
  <c r="P625" i="34"/>
  <c r="T625" i="34"/>
  <c r="X625" i="34"/>
  <c r="Q625" i="34"/>
  <c r="R625" i="34"/>
  <c r="A621" i="34"/>
  <c r="O621" i="34"/>
  <c r="S621" i="34"/>
  <c r="AA621" i="34"/>
  <c r="P621" i="34"/>
  <c r="T621" i="34"/>
  <c r="X621" i="34"/>
  <c r="Q621" i="34"/>
  <c r="R621" i="34"/>
  <c r="A617" i="34"/>
  <c r="Q617" i="34"/>
  <c r="O617" i="34"/>
  <c r="X617" i="34"/>
  <c r="P617" i="34"/>
  <c r="AA617" i="34"/>
  <c r="A613" i="34"/>
  <c r="P613" i="34"/>
  <c r="X613" i="34"/>
  <c r="Q613" i="34"/>
  <c r="O613" i="34"/>
  <c r="AA613" i="34"/>
  <c r="A609" i="34"/>
  <c r="P609" i="34"/>
  <c r="T609" i="34"/>
  <c r="X609" i="34"/>
  <c r="Q609" i="34"/>
  <c r="R609" i="34"/>
  <c r="S609" i="34"/>
  <c r="O609" i="34"/>
  <c r="AA609" i="34"/>
  <c r="A605" i="34"/>
  <c r="R605" i="34"/>
  <c r="O605" i="34"/>
  <c r="S605" i="34"/>
  <c r="AA605" i="34"/>
  <c r="P605" i="34"/>
  <c r="T605" i="34"/>
  <c r="X605" i="34"/>
  <c r="Q605" i="34"/>
  <c r="A601" i="34"/>
  <c r="O601" i="34"/>
  <c r="AA601" i="34"/>
  <c r="P601" i="34"/>
  <c r="X601" i="34"/>
  <c r="Q601" i="34"/>
  <c r="A591" i="34"/>
  <c r="R591" i="34"/>
  <c r="O591" i="34"/>
  <c r="S591" i="34"/>
  <c r="AA591" i="34"/>
  <c r="P591" i="34"/>
  <c r="T591" i="34"/>
  <c r="X591" i="34"/>
  <c r="Q591" i="34"/>
  <c r="A587" i="34"/>
  <c r="O587" i="34"/>
  <c r="AA587" i="34"/>
  <c r="P587" i="34"/>
  <c r="X587" i="34"/>
  <c r="Q587" i="34"/>
  <c r="A584" i="34"/>
  <c r="P584" i="34"/>
  <c r="X584" i="34"/>
  <c r="Q584" i="34"/>
  <c r="O584" i="34"/>
  <c r="AA584" i="34"/>
  <c r="A579" i="34"/>
  <c r="O579" i="34"/>
  <c r="AA579" i="34"/>
  <c r="P579" i="34"/>
  <c r="X579" i="34"/>
  <c r="Q579" i="34"/>
  <c r="A576" i="34"/>
  <c r="P576" i="34"/>
  <c r="X576" i="34"/>
  <c r="Q576" i="34"/>
  <c r="O576" i="34"/>
  <c r="AA576" i="34"/>
  <c r="A572" i="34"/>
  <c r="P572" i="34"/>
  <c r="X572" i="34"/>
  <c r="Q572" i="34"/>
  <c r="O572" i="34"/>
  <c r="AA572" i="34"/>
  <c r="A567" i="34"/>
  <c r="O567" i="34"/>
  <c r="AA567" i="34"/>
  <c r="P567" i="34"/>
  <c r="X567" i="34"/>
  <c r="Q567" i="34"/>
  <c r="A563" i="34"/>
  <c r="O563" i="34"/>
  <c r="AA563" i="34"/>
  <c r="P563" i="34"/>
  <c r="X563" i="34"/>
  <c r="Q563" i="34"/>
  <c r="A559" i="34"/>
  <c r="O559" i="34"/>
  <c r="AA559" i="34"/>
  <c r="P559" i="34"/>
  <c r="X559" i="34"/>
  <c r="Q559" i="34"/>
  <c r="A556" i="34"/>
  <c r="P556" i="34"/>
  <c r="T556" i="34"/>
  <c r="X556" i="34"/>
  <c r="Q556" i="34"/>
  <c r="R556" i="34"/>
  <c r="O556" i="34"/>
  <c r="S556" i="34"/>
  <c r="AA556" i="34"/>
  <c r="A551" i="34"/>
  <c r="R551" i="34"/>
  <c r="O551" i="34"/>
  <c r="S551" i="34"/>
  <c r="AA551" i="34"/>
  <c r="P551" i="34"/>
  <c r="T551" i="34"/>
  <c r="X551" i="34"/>
  <c r="Q551" i="34"/>
  <c r="A546" i="34"/>
  <c r="P546" i="34"/>
  <c r="X546" i="34"/>
  <c r="Q546" i="34"/>
  <c r="O546" i="34"/>
  <c r="AA546" i="34"/>
  <c r="A539" i="34"/>
  <c r="O539" i="34"/>
  <c r="AA539" i="34"/>
  <c r="P539" i="34"/>
  <c r="X539" i="34"/>
  <c r="Q539" i="34"/>
  <c r="A535" i="34"/>
  <c r="O535" i="34"/>
  <c r="AA535" i="34"/>
  <c r="P535" i="34"/>
  <c r="X535" i="34"/>
  <c r="Q535" i="34"/>
  <c r="A706" i="34"/>
  <c r="Q706" i="34"/>
  <c r="R706" i="34"/>
  <c r="O706" i="34"/>
  <c r="S706" i="34"/>
  <c r="AA706" i="34"/>
  <c r="P706" i="34"/>
  <c r="T706" i="34"/>
  <c r="X706" i="34"/>
  <c r="A703" i="34"/>
  <c r="O703" i="34"/>
  <c r="AA703" i="34"/>
  <c r="P703" i="34"/>
  <c r="X703" i="34"/>
  <c r="Q703" i="34"/>
  <c r="A699" i="34"/>
  <c r="O699" i="34"/>
  <c r="AA699" i="34"/>
  <c r="P699" i="34"/>
  <c r="X699" i="34"/>
  <c r="Q699" i="34"/>
  <c r="A695" i="34"/>
  <c r="O695" i="34"/>
  <c r="S695" i="34"/>
  <c r="AA695" i="34"/>
  <c r="P695" i="34"/>
  <c r="T695" i="34"/>
  <c r="X695" i="34"/>
  <c r="Q695" i="34"/>
  <c r="R695" i="34"/>
  <c r="A690" i="34"/>
  <c r="Q690" i="34"/>
  <c r="O690" i="34"/>
  <c r="AA690" i="34"/>
  <c r="P690" i="34"/>
  <c r="X690" i="34"/>
  <c r="A686" i="34"/>
  <c r="Q686" i="34"/>
  <c r="R686" i="34"/>
  <c r="O686" i="34"/>
  <c r="S686" i="34"/>
  <c r="AA686" i="34"/>
  <c r="P686" i="34"/>
  <c r="T686" i="34"/>
  <c r="X686" i="34"/>
  <c r="A682" i="34"/>
  <c r="Q682" i="34"/>
  <c r="O682" i="34"/>
  <c r="AA682" i="34"/>
  <c r="P682" i="34"/>
  <c r="X682" i="34"/>
  <c r="A678" i="34"/>
  <c r="Q678" i="34"/>
  <c r="O678" i="34"/>
  <c r="AA678" i="34"/>
  <c r="P678" i="34"/>
  <c r="X678" i="34"/>
  <c r="A674" i="34"/>
  <c r="Q674" i="34"/>
  <c r="R674" i="34"/>
  <c r="O674" i="34"/>
  <c r="S674" i="34"/>
  <c r="AA674" i="34"/>
  <c r="P674" i="34"/>
  <c r="T674" i="34"/>
  <c r="X674" i="34"/>
  <c r="A669" i="34"/>
  <c r="O669" i="34"/>
  <c r="AA669" i="34"/>
  <c r="P669" i="34"/>
  <c r="X669" i="34"/>
  <c r="Q669" i="34"/>
  <c r="A665" i="34"/>
  <c r="O665" i="34"/>
  <c r="AA665" i="34"/>
  <c r="P665" i="34"/>
  <c r="X665" i="34"/>
  <c r="Q665" i="34"/>
  <c r="A661" i="34"/>
  <c r="O661" i="34"/>
  <c r="AA661" i="34"/>
  <c r="P661" i="34"/>
  <c r="X661" i="34"/>
  <c r="Q661" i="34"/>
  <c r="A657" i="34"/>
  <c r="O657" i="34"/>
  <c r="AA657" i="34"/>
  <c r="P657" i="34"/>
  <c r="X657" i="34"/>
  <c r="Q657" i="34"/>
  <c r="A653" i="34"/>
  <c r="O653" i="34"/>
  <c r="S653" i="34"/>
  <c r="AA653" i="34"/>
  <c r="P653" i="34"/>
  <c r="T653" i="34"/>
  <c r="X653" i="34"/>
  <c r="Q653" i="34"/>
  <c r="R653" i="34"/>
  <c r="A649" i="34"/>
  <c r="O649" i="34"/>
  <c r="AA649" i="34"/>
  <c r="P649" i="34"/>
  <c r="X649" i="34"/>
  <c r="Q649" i="34"/>
  <c r="A645" i="34"/>
  <c r="O645" i="34"/>
  <c r="S645" i="34"/>
  <c r="AA645" i="34"/>
  <c r="P645" i="34"/>
  <c r="T645" i="34"/>
  <c r="X645" i="34"/>
  <c r="Q645" i="34"/>
  <c r="R645" i="34"/>
  <c r="A641" i="34"/>
  <c r="O641" i="34"/>
  <c r="S641" i="34"/>
  <c r="AA641" i="34"/>
  <c r="P641" i="34"/>
  <c r="T641" i="34"/>
  <c r="X641" i="34"/>
  <c r="Q641" i="34"/>
  <c r="R641" i="34"/>
  <c r="A636" i="34"/>
  <c r="Q636" i="34"/>
  <c r="O636" i="34"/>
  <c r="AA636" i="34"/>
  <c r="P636" i="34"/>
  <c r="X636" i="34"/>
  <c r="A632" i="34"/>
  <c r="Q632" i="34"/>
  <c r="O632" i="34"/>
  <c r="AA632" i="34"/>
  <c r="P632" i="34"/>
  <c r="X632" i="34"/>
  <c r="A628" i="34"/>
  <c r="Q628" i="34"/>
  <c r="O628" i="34"/>
  <c r="AA628" i="34"/>
  <c r="P628" i="34"/>
  <c r="X628" i="34"/>
  <c r="A624" i="34"/>
  <c r="Q624" i="34"/>
  <c r="R624" i="34"/>
  <c r="O624" i="34"/>
  <c r="S624" i="34"/>
  <c r="AA624" i="34"/>
  <c r="P624" i="34"/>
  <c r="T624" i="34"/>
  <c r="X624" i="34"/>
  <c r="A620" i="34"/>
  <c r="Q620" i="34"/>
  <c r="R620" i="34"/>
  <c r="O620" i="34"/>
  <c r="S620" i="34"/>
  <c r="AA620" i="34"/>
  <c r="P620" i="34"/>
  <c r="T620" i="34"/>
  <c r="X620" i="34"/>
  <c r="A616" i="34"/>
  <c r="O616" i="34"/>
  <c r="AA616" i="34"/>
  <c r="P616" i="34"/>
  <c r="X616" i="34"/>
  <c r="Q616" i="34"/>
  <c r="A612" i="34"/>
  <c r="O612" i="34"/>
  <c r="AA612" i="34"/>
  <c r="P612" i="34"/>
  <c r="X612" i="34"/>
  <c r="Q612" i="34"/>
  <c r="A608" i="34"/>
  <c r="O608" i="34"/>
  <c r="AA608" i="34"/>
  <c r="Q608" i="34"/>
  <c r="P608" i="34"/>
  <c r="X608" i="34"/>
  <c r="A604" i="34"/>
  <c r="P604" i="34"/>
  <c r="X604" i="34"/>
  <c r="Q604" i="34"/>
  <c r="O604" i="34"/>
  <c r="AA604" i="34"/>
  <c r="A600" i="34"/>
  <c r="P600" i="34"/>
  <c r="X600" i="34"/>
  <c r="Q600" i="34"/>
  <c r="O600" i="34"/>
  <c r="AA600" i="34"/>
  <c r="A590" i="34"/>
  <c r="P590" i="34"/>
  <c r="T590" i="34"/>
  <c r="X590" i="34"/>
  <c r="Q590" i="34"/>
  <c r="R590" i="34"/>
  <c r="O590" i="34"/>
  <c r="S590" i="34"/>
  <c r="AA590" i="34"/>
  <c r="A586" i="34"/>
  <c r="P586" i="34"/>
  <c r="X586" i="34"/>
  <c r="Q586" i="34"/>
  <c r="O586" i="34"/>
  <c r="AA586" i="34"/>
  <c r="A583" i="34"/>
  <c r="O583" i="34"/>
  <c r="AA583" i="34"/>
  <c r="P583" i="34"/>
  <c r="X583" i="34"/>
  <c r="Q583" i="34"/>
  <c r="A578" i="34"/>
  <c r="P578" i="34"/>
  <c r="X578" i="34"/>
  <c r="Q578" i="34"/>
  <c r="O578" i="34"/>
  <c r="AA578" i="34"/>
  <c r="A575" i="34"/>
  <c r="O575" i="34"/>
  <c r="AA575" i="34"/>
  <c r="P575" i="34"/>
  <c r="X575" i="34"/>
  <c r="Q575" i="34"/>
  <c r="A571" i="34"/>
  <c r="O571" i="34"/>
  <c r="AA571" i="34"/>
  <c r="P571" i="34"/>
  <c r="X571" i="34"/>
  <c r="Q571" i="34"/>
  <c r="A566" i="34"/>
  <c r="P566" i="34"/>
  <c r="X566" i="34"/>
  <c r="Q566" i="34"/>
  <c r="O566" i="34"/>
  <c r="AA566" i="34"/>
  <c r="A562" i="34"/>
  <c r="P562" i="34"/>
  <c r="T562" i="34"/>
  <c r="X562" i="34"/>
  <c r="Q562" i="34"/>
  <c r="R562" i="34"/>
  <c r="O562" i="34"/>
  <c r="S562" i="34"/>
  <c r="AA562" i="34"/>
  <c r="A558" i="34"/>
  <c r="P558" i="34"/>
  <c r="X558" i="34"/>
  <c r="Q558" i="34"/>
  <c r="O558" i="34"/>
  <c r="AA558" i="34"/>
  <c r="A555" i="34"/>
  <c r="O555" i="34"/>
  <c r="AA555" i="34"/>
  <c r="P555" i="34"/>
  <c r="X555" i="34"/>
  <c r="Q555" i="34"/>
  <c r="A550" i="34"/>
  <c r="P550" i="34"/>
  <c r="T550" i="34"/>
  <c r="X550" i="34"/>
  <c r="Q550" i="34"/>
  <c r="R550" i="34"/>
  <c r="O550" i="34"/>
  <c r="S550" i="34"/>
  <c r="AA550" i="34"/>
  <c r="A544" i="34"/>
  <c r="P544" i="34"/>
  <c r="X544" i="34"/>
  <c r="Q544" i="34"/>
  <c r="O544" i="34"/>
  <c r="AA544" i="34"/>
  <c r="A538" i="34"/>
  <c r="P538" i="34"/>
  <c r="X538" i="34"/>
  <c r="Q538" i="34"/>
  <c r="O538" i="34"/>
  <c r="AA538" i="34"/>
  <c r="A534" i="34"/>
  <c r="P534" i="34"/>
  <c r="X534" i="34"/>
  <c r="Q534" i="34"/>
  <c r="O534" i="34"/>
  <c r="AA534" i="34"/>
  <c r="A847" i="34"/>
  <c r="P847" i="34"/>
  <c r="T847" i="34"/>
  <c r="X847" i="34"/>
  <c r="Q847" i="34"/>
  <c r="R847" i="34"/>
  <c r="O847" i="34"/>
  <c r="S847" i="34"/>
  <c r="AA847" i="34"/>
  <c r="A711" i="34"/>
  <c r="O711" i="34"/>
  <c r="S711" i="34"/>
  <c r="AA711" i="34"/>
  <c r="P711" i="34"/>
  <c r="T711" i="34"/>
  <c r="X711" i="34"/>
  <c r="Q711" i="34"/>
  <c r="R711" i="34"/>
  <c r="A702" i="34"/>
  <c r="Q702" i="34"/>
  <c r="O702" i="34"/>
  <c r="AA702" i="34"/>
  <c r="P702" i="34"/>
  <c r="X702" i="34"/>
  <c r="A698" i="34"/>
  <c r="Q698" i="34"/>
  <c r="O698" i="34"/>
  <c r="AA698" i="34"/>
  <c r="P698" i="34"/>
  <c r="X698" i="34"/>
  <c r="A693" i="34"/>
  <c r="O693" i="34"/>
  <c r="S693" i="34"/>
  <c r="AA693" i="34"/>
  <c r="P693" i="34"/>
  <c r="T693" i="34"/>
  <c r="X693" i="34"/>
  <c r="Q693" i="34"/>
  <c r="R693" i="34"/>
  <c r="A689" i="34"/>
  <c r="O689" i="34"/>
  <c r="AA689" i="34"/>
  <c r="P689" i="34"/>
  <c r="X689" i="34"/>
  <c r="Q689" i="34"/>
  <c r="A685" i="34"/>
  <c r="O685" i="34"/>
  <c r="AA685" i="34"/>
  <c r="P685" i="34"/>
  <c r="X685" i="34"/>
  <c r="Q685" i="34"/>
  <c r="A681" i="34"/>
  <c r="O681" i="34"/>
  <c r="AA681" i="34"/>
  <c r="P681" i="34"/>
  <c r="X681" i="34"/>
  <c r="Q681" i="34"/>
  <c r="A677" i="34"/>
  <c r="O677" i="34"/>
  <c r="AA677" i="34"/>
  <c r="P677" i="34"/>
  <c r="X677" i="34"/>
  <c r="Q677" i="34"/>
  <c r="A673" i="34"/>
  <c r="O673" i="34"/>
  <c r="S673" i="34"/>
  <c r="AA673" i="34"/>
  <c r="P673" i="34"/>
  <c r="T673" i="34"/>
  <c r="X673" i="34"/>
  <c r="Q673" i="34"/>
  <c r="R673" i="34"/>
  <c r="A668" i="34"/>
  <c r="Q668" i="34"/>
  <c r="O668" i="34"/>
  <c r="AA668" i="34"/>
  <c r="P668" i="34"/>
  <c r="X668" i="34"/>
  <c r="A664" i="34"/>
  <c r="Q664" i="34"/>
  <c r="R664" i="34"/>
  <c r="O664" i="34"/>
  <c r="S664" i="34"/>
  <c r="AA664" i="34"/>
  <c r="P664" i="34"/>
  <c r="T664" i="34"/>
  <c r="X664" i="34"/>
  <c r="A660" i="34"/>
  <c r="Q660" i="34"/>
  <c r="O660" i="34"/>
  <c r="AA660" i="34"/>
  <c r="P660" i="34"/>
  <c r="X660" i="34"/>
  <c r="A656" i="34"/>
  <c r="Q656" i="34"/>
  <c r="R656" i="34"/>
  <c r="O656" i="34"/>
  <c r="S656" i="34"/>
  <c r="AA656" i="34"/>
  <c r="P656" i="34"/>
  <c r="T656" i="34"/>
  <c r="X656" i="34"/>
  <c r="A652" i="34"/>
  <c r="Q652" i="34"/>
  <c r="R652" i="34"/>
  <c r="O652" i="34"/>
  <c r="S652" i="34"/>
  <c r="AA652" i="34"/>
  <c r="P652" i="34"/>
  <c r="T652" i="34"/>
  <c r="X652" i="34"/>
  <c r="A648" i="34"/>
  <c r="Q648" i="34"/>
  <c r="O648" i="34"/>
  <c r="AA648" i="34"/>
  <c r="P648" i="34"/>
  <c r="X648" i="34"/>
  <c r="A644" i="34"/>
  <c r="Q644" i="34"/>
  <c r="R644" i="34"/>
  <c r="O644" i="34"/>
  <c r="S644" i="34"/>
  <c r="AA644" i="34"/>
  <c r="P644" i="34"/>
  <c r="T644" i="34"/>
  <c r="X644" i="34"/>
  <c r="A640" i="34"/>
  <c r="Q640" i="34"/>
  <c r="R640" i="34"/>
  <c r="O640" i="34"/>
  <c r="S640" i="34"/>
  <c r="AA640" i="34"/>
  <c r="P640" i="34"/>
  <c r="T640" i="34"/>
  <c r="X640" i="34"/>
  <c r="A635" i="34"/>
  <c r="O635" i="34"/>
  <c r="AA635" i="34"/>
  <c r="P635" i="34"/>
  <c r="X635" i="34"/>
  <c r="Q635" i="34"/>
  <c r="A631" i="34"/>
  <c r="O631" i="34"/>
  <c r="AA631" i="34"/>
  <c r="P631" i="34"/>
  <c r="X631" i="34"/>
  <c r="Q631" i="34"/>
  <c r="A627" i="34"/>
  <c r="O627" i="34"/>
  <c r="AA627" i="34"/>
  <c r="P627" i="34"/>
  <c r="X627" i="34"/>
  <c r="Q627" i="34"/>
  <c r="A623" i="34"/>
  <c r="O623" i="34"/>
  <c r="S623" i="34"/>
  <c r="AA623" i="34"/>
  <c r="P623" i="34"/>
  <c r="T623" i="34"/>
  <c r="X623" i="34"/>
  <c r="Q623" i="34"/>
  <c r="R623" i="34"/>
  <c r="A619" i="34"/>
  <c r="Q619" i="34"/>
  <c r="S619" i="34"/>
  <c r="AA619" i="34"/>
  <c r="O619" i="34"/>
  <c r="T619" i="34"/>
  <c r="X619" i="34"/>
  <c r="P619" i="34"/>
  <c r="R619" i="34"/>
  <c r="A615" i="34"/>
  <c r="Q615" i="34"/>
  <c r="P615" i="34"/>
  <c r="AA615" i="34"/>
  <c r="O615" i="34"/>
  <c r="X615" i="34"/>
  <c r="A611" i="34"/>
  <c r="P611" i="34"/>
  <c r="X611" i="34"/>
  <c r="Q611" i="34"/>
  <c r="O611" i="34"/>
  <c r="AA611" i="34"/>
  <c r="A607" i="34"/>
  <c r="O607" i="34"/>
  <c r="AA607" i="34"/>
  <c r="P607" i="34"/>
  <c r="X607" i="34"/>
  <c r="Q607" i="34"/>
  <c r="A603" i="34"/>
  <c r="O603" i="34"/>
  <c r="AA603" i="34"/>
  <c r="P603" i="34"/>
  <c r="X603" i="34"/>
  <c r="Q603" i="34"/>
  <c r="A593" i="34"/>
  <c r="O593" i="34"/>
  <c r="AA593" i="34"/>
  <c r="P593" i="34"/>
  <c r="X593" i="34"/>
  <c r="Q593" i="34"/>
  <c r="A589" i="34"/>
  <c r="R589" i="34"/>
  <c r="O589" i="34"/>
  <c r="S589" i="34"/>
  <c r="AA589" i="34"/>
  <c r="P589" i="34"/>
  <c r="T589" i="34"/>
  <c r="X589" i="34"/>
  <c r="Q589" i="34"/>
  <c r="A585" i="34"/>
  <c r="O585" i="34"/>
  <c r="AA585" i="34"/>
  <c r="P585" i="34"/>
  <c r="X585" i="34"/>
  <c r="Q585" i="34"/>
  <c r="A581" i="34"/>
  <c r="R581" i="34"/>
  <c r="O581" i="34"/>
  <c r="S581" i="34"/>
  <c r="AA581" i="34"/>
  <c r="P581" i="34"/>
  <c r="T581" i="34"/>
  <c r="X581" i="34"/>
  <c r="Q581" i="34"/>
  <c r="A577" i="34"/>
  <c r="R577" i="34"/>
  <c r="O577" i="34"/>
  <c r="S577" i="34"/>
  <c r="AA577" i="34"/>
  <c r="P577" i="34"/>
  <c r="T577" i="34"/>
  <c r="X577" i="34"/>
  <c r="Q577" i="34"/>
  <c r="A574" i="34"/>
  <c r="P574" i="34"/>
  <c r="X574" i="34"/>
  <c r="Q574" i="34"/>
  <c r="O574" i="34"/>
  <c r="AA574" i="34"/>
  <c r="A570" i="34"/>
  <c r="P570" i="34"/>
  <c r="X570" i="34"/>
  <c r="Q570" i="34"/>
  <c r="O570" i="34"/>
  <c r="AA570" i="34"/>
  <c r="A565" i="34"/>
  <c r="O565" i="34"/>
  <c r="AA565" i="34"/>
  <c r="P565" i="34"/>
  <c r="X565" i="34"/>
  <c r="Q565" i="34"/>
  <c r="A561" i="34"/>
  <c r="O561" i="34"/>
  <c r="AA561" i="34"/>
  <c r="P561" i="34"/>
  <c r="X561" i="34"/>
  <c r="Q561" i="34"/>
  <c r="A552" i="34"/>
  <c r="P552" i="34"/>
  <c r="X552" i="34"/>
  <c r="Q552" i="34"/>
  <c r="O552" i="34"/>
  <c r="AA552" i="34"/>
  <c r="A554" i="34"/>
  <c r="P554" i="34"/>
  <c r="X554" i="34"/>
  <c r="Q554" i="34"/>
  <c r="O554" i="34"/>
  <c r="AA554" i="34"/>
  <c r="A549" i="34"/>
  <c r="O549" i="34"/>
  <c r="AA549" i="34"/>
  <c r="P549" i="34"/>
  <c r="X549" i="34"/>
  <c r="Q549" i="34"/>
  <c r="A541" i="34"/>
  <c r="R541" i="34"/>
  <c r="O541" i="34"/>
  <c r="S541" i="34"/>
  <c r="AA541" i="34"/>
  <c r="P541" i="34"/>
  <c r="T541" i="34"/>
  <c r="X541" i="34"/>
  <c r="Q541" i="34"/>
  <c r="A537" i="34"/>
  <c r="R537" i="34"/>
  <c r="O537" i="34"/>
  <c r="S537" i="34"/>
  <c r="AA537" i="34"/>
  <c r="P537" i="34"/>
  <c r="T537" i="34"/>
  <c r="X537" i="34"/>
  <c r="Q537" i="34"/>
  <c r="A533" i="34"/>
  <c r="O533" i="34"/>
  <c r="AA533" i="34"/>
  <c r="P533" i="34"/>
  <c r="X533" i="34"/>
  <c r="Q533" i="34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9" i="68"/>
  <c r="A40" i="68"/>
  <c r="F20" i="68"/>
  <c r="C20" i="68"/>
  <c r="A12" i="68"/>
  <c r="A8" i="68"/>
  <c r="A13" i="68"/>
  <c r="D20" i="68"/>
  <c r="E13" i="68"/>
  <c r="E11" i="68"/>
  <c r="F21" i="68" l="1"/>
  <c r="G20" i="68"/>
  <c r="E27" i="68"/>
  <c r="A10" i="68"/>
  <c r="L14" i="64"/>
  <c r="L15" i="64"/>
  <c r="L16" i="64"/>
  <c r="J18" i="64"/>
  <c r="K18" i="64"/>
  <c r="H18" i="64"/>
  <c r="F22" i="68" l="1"/>
  <c r="G21" i="68"/>
  <c r="H20" i="68"/>
  <c r="L18" i="64"/>
  <c r="F23" i="68" l="1"/>
  <c r="G22" i="68"/>
  <c r="H21" i="68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G27" i="68" l="1"/>
  <c r="B671" i="34"/>
  <c r="B773" i="34"/>
  <c r="B777" i="34"/>
  <c r="B774" i="34"/>
  <c r="B775" i="34"/>
  <c r="B776" i="34"/>
  <c r="A777" i="34" l="1"/>
  <c r="P777" i="34"/>
  <c r="X777" i="34"/>
  <c r="Q777" i="34"/>
  <c r="O777" i="34"/>
  <c r="AA777" i="34"/>
  <c r="A773" i="34"/>
  <c r="P773" i="34"/>
  <c r="X773" i="34"/>
  <c r="Q773" i="34"/>
  <c r="O773" i="34"/>
  <c r="AA773" i="34"/>
  <c r="A775" i="34"/>
  <c r="P775" i="34"/>
  <c r="X775" i="34"/>
  <c r="Q775" i="34"/>
  <c r="O775" i="34"/>
  <c r="AA775" i="34"/>
  <c r="A671" i="34"/>
  <c r="O671" i="34"/>
  <c r="AA671" i="34"/>
  <c r="P671" i="34"/>
  <c r="X671" i="34"/>
  <c r="Q671" i="34"/>
  <c r="A776" i="34"/>
  <c r="O776" i="34"/>
  <c r="AA776" i="34"/>
  <c r="P776" i="34"/>
  <c r="X776" i="34"/>
  <c r="Q776" i="34"/>
  <c r="A774" i="34"/>
  <c r="O774" i="34"/>
  <c r="AA774" i="34"/>
  <c r="P774" i="34"/>
  <c r="X774" i="34"/>
  <c r="Q774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739" i="34"/>
  <c r="B740" i="34"/>
  <c r="B741" i="34"/>
  <c r="B742" i="34"/>
  <c r="B743" i="34"/>
  <c r="B744" i="34"/>
  <c r="B745" i="34"/>
  <c r="B746" i="34"/>
  <c r="B747" i="34"/>
  <c r="B602" i="34"/>
  <c r="B761" i="34"/>
  <c r="B762" i="34"/>
  <c r="B760" i="34"/>
  <c r="B748" i="34"/>
  <c r="B749" i="34"/>
  <c r="B750" i="34"/>
  <c r="B751" i="34"/>
  <c r="B752" i="34"/>
  <c r="B753" i="34"/>
  <c r="B754" i="34"/>
  <c r="B755" i="34"/>
  <c r="B756" i="34"/>
  <c r="B757" i="34"/>
  <c r="B758" i="34"/>
  <c r="B759" i="34"/>
  <c r="B849" i="34"/>
  <c r="B850" i="34"/>
  <c r="B851" i="34"/>
  <c r="B852" i="34"/>
  <c r="B854" i="34"/>
  <c r="B856" i="34"/>
  <c r="B866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1260" i="34"/>
  <c r="B1261" i="34"/>
  <c r="B1262" i="34"/>
  <c r="B1263" i="34"/>
  <c r="B1264" i="34"/>
  <c r="B1265" i="34"/>
  <c r="B1266" i="34"/>
  <c r="B1267" i="34"/>
  <c r="B1268" i="34"/>
  <c r="B1269" i="34"/>
  <c r="B1270" i="34"/>
  <c r="B1271" i="34"/>
  <c r="B1272" i="34"/>
  <c r="B1273" i="34"/>
  <c r="B1274" i="34"/>
  <c r="B1275" i="34"/>
  <c r="B1276" i="34"/>
  <c r="B1277" i="34"/>
  <c r="B1278" i="34"/>
  <c r="B1279" i="34"/>
  <c r="B1280" i="34"/>
  <c r="B1281" i="34"/>
  <c r="B1282" i="34"/>
  <c r="B1283" i="34"/>
  <c r="B1284" i="34"/>
  <c r="B1285" i="34"/>
  <c r="B1286" i="34"/>
  <c r="B1287" i="34"/>
  <c r="B1288" i="34"/>
  <c r="B1289" i="34"/>
  <c r="B1290" i="34"/>
  <c r="B1291" i="34"/>
  <c r="B1292" i="34"/>
  <c r="B1293" i="34"/>
  <c r="B1639" i="34"/>
  <c r="O1289" i="34" l="1"/>
  <c r="AA1289" i="34"/>
  <c r="P1289" i="34"/>
  <c r="X1289" i="34"/>
  <c r="Q1289" i="34"/>
  <c r="A1289" i="34"/>
  <c r="O1269" i="34"/>
  <c r="AA1269" i="34"/>
  <c r="P1269" i="34"/>
  <c r="X1269" i="34"/>
  <c r="Q1269" i="34"/>
  <c r="A1269" i="34"/>
  <c r="O1287" i="34"/>
  <c r="AA1287" i="34"/>
  <c r="P1287" i="34"/>
  <c r="X1287" i="34"/>
  <c r="Q1287" i="34"/>
  <c r="A1287" i="34"/>
  <c r="A1639" i="34"/>
  <c r="O1639" i="34"/>
  <c r="AA1639" i="34"/>
  <c r="P1639" i="34"/>
  <c r="X1639" i="34"/>
  <c r="Q1639" i="34"/>
  <c r="Q1290" i="34"/>
  <c r="O1290" i="34"/>
  <c r="AA1290" i="34"/>
  <c r="P1290" i="34"/>
  <c r="X1290" i="34"/>
  <c r="A1290" i="34"/>
  <c r="Q1286" i="34"/>
  <c r="O1286" i="34"/>
  <c r="AA1286" i="34"/>
  <c r="P1286" i="34"/>
  <c r="X1286" i="34"/>
  <c r="A1286" i="34"/>
  <c r="Q1282" i="34"/>
  <c r="O1282" i="34"/>
  <c r="AA1282" i="34"/>
  <c r="P1282" i="34"/>
  <c r="X1282" i="34"/>
  <c r="A1282" i="34"/>
  <c r="Q1278" i="34"/>
  <c r="O1278" i="34"/>
  <c r="AA1278" i="34"/>
  <c r="P1278" i="34"/>
  <c r="X1278" i="34"/>
  <c r="A1278" i="34"/>
  <c r="Q1274" i="34"/>
  <c r="O1274" i="34"/>
  <c r="AA1274" i="34"/>
  <c r="P1274" i="34"/>
  <c r="X1274" i="34"/>
  <c r="A1274" i="34"/>
  <c r="Q1270" i="34"/>
  <c r="O1270" i="34"/>
  <c r="AA1270" i="34"/>
  <c r="P1270" i="34"/>
  <c r="X1270" i="34"/>
  <c r="A1270" i="34"/>
  <c r="Q1266" i="34"/>
  <c r="O1266" i="34"/>
  <c r="AA1266" i="34"/>
  <c r="P1266" i="34"/>
  <c r="X1266" i="34"/>
  <c r="A1266" i="34"/>
  <c r="Q1262" i="34"/>
  <c r="O1262" i="34"/>
  <c r="AA1262" i="34"/>
  <c r="P1262" i="34"/>
  <c r="X1262" i="34"/>
  <c r="A1262" i="34"/>
  <c r="P956" i="34"/>
  <c r="X956" i="34"/>
  <c r="Q956" i="34"/>
  <c r="O956" i="34"/>
  <c r="AA956" i="34"/>
  <c r="A956" i="34"/>
  <c r="P952" i="34"/>
  <c r="X952" i="34"/>
  <c r="Q952" i="34"/>
  <c r="O952" i="34"/>
  <c r="AA952" i="34"/>
  <c r="A952" i="34"/>
  <c r="A948" i="34"/>
  <c r="P948" i="34"/>
  <c r="X948" i="34"/>
  <c r="Q948" i="34"/>
  <c r="O948" i="34"/>
  <c r="AA948" i="34"/>
  <c r="A944" i="34"/>
  <c r="P944" i="34"/>
  <c r="X944" i="34"/>
  <c r="Q944" i="34"/>
  <c r="O944" i="34"/>
  <c r="AA944" i="34"/>
  <c r="A940" i="34"/>
  <c r="P940" i="34"/>
  <c r="X940" i="34"/>
  <c r="Q940" i="34"/>
  <c r="O940" i="34"/>
  <c r="AA940" i="34"/>
  <c r="A936" i="34"/>
  <c r="P936" i="34"/>
  <c r="T936" i="34"/>
  <c r="X936" i="34"/>
  <c r="Q936" i="34"/>
  <c r="R936" i="34"/>
  <c r="O936" i="34"/>
  <c r="S936" i="34"/>
  <c r="AA936" i="34"/>
  <c r="A932" i="34"/>
  <c r="P932" i="34"/>
  <c r="T932" i="34"/>
  <c r="X932" i="34"/>
  <c r="Q932" i="34"/>
  <c r="R932" i="34"/>
  <c r="O932" i="34"/>
  <c r="S932" i="34"/>
  <c r="AA932" i="34"/>
  <c r="A928" i="34"/>
  <c r="P928" i="34"/>
  <c r="X928" i="34"/>
  <c r="Q928" i="34"/>
  <c r="O928" i="34"/>
  <c r="AA928" i="34"/>
  <c r="A924" i="34"/>
  <c r="P924" i="34"/>
  <c r="T924" i="34"/>
  <c r="X924" i="34"/>
  <c r="Q924" i="34"/>
  <c r="R924" i="34"/>
  <c r="O924" i="34"/>
  <c r="S924" i="34"/>
  <c r="AA924" i="34"/>
  <c r="A920" i="34"/>
  <c r="P920" i="34"/>
  <c r="X920" i="34"/>
  <c r="Q920" i="34"/>
  <c r="O920" i="34"/>
  <c r="AA920" i="34"/>
  <c r="A916" i="34"/>
  <c r="P916" i="34"/>
  <c r="X916" i="34"/>
  <c r="Q916" i="34"/>
  <c r="O916" i="34"/>
  <c r="AA916" i="34"/>
  <c r="A912" i="34"/>
  <c r="O912" i="34"/>
  <c r="AA912" i="34"/>
  <c r="P912" i="34"/>
  <c r="X912" i="34"/>
  <c r="Q912" i="34"/>
  <c r="A908" i="34"/>
  <c r="O908" i="34"/>
  <c r="AA908" i="34"/>
  <c r="P908" i="34"/>
  <c r="X908" i="34"/>
  <c r="Q908" i="34"/>
  <c r="A904" i="34"/>
  <c r="R904" i="34"/>
  <c r="O904" i="34"/>
  <c r="S904" i="34"/>
  <c r="AA904" i="34"/>
  <c r="P904" i="34"/>
  <c r="T904" i="34"/>
  <c r="X904" i="34"/>
  <c r="Q904" i="34"/>
  <c r="A900" i="34"/>
  <c r="O900" i="34"/>
  <c r="AA900" i="34"/>
  <c r="P900" i="34"/>
  <c r="X900" i="34"/>
  <c r="Q900" i="34"/>
  <c r="A896" i="34"/>
  <c r="R896" i="34"/>
  <c r="O896" i="34"/>
  <c r="S896" i="34"/>
  <c r="AA896" i="34"/>
  <c r="P896" i="34"/>
  <c r="T896" i="34"/>
  <c r="X896" i="34"/>
  <c r="Q896" i="34"/>
  <c r="A892" i="34"/>
  <c r="R892" i="34"/>
  <c r="O892" i="34"/>
  <c r="S892" i="34"/>
  <c r="AA892" i="34"/>
  <c r="P892" i="34"/>
  <c r="T892" i="34"/>
  <c r="X892" i="34"/>
  <c r="Q892" i="34"/>
  <c r="A888" i="34"/>
  <c r="O888" i="34"/>
  <c r="AA888" i="34"/>
  <c r="P888" i="34"/>
  <c r="X888" i="34"/>
  <c r="Q888" i="34"/>
  <c r="A884" i="34"/>
  <c r="R884" i="34"/>
  <c r="O884" i="34"/>
  <c r="S884" i="34"/>
  <c r="AA884" i="34"/>
  <c r="P884" i="34"/>
  <c r="T884" i="34"/>
  <c r="X884" i="34"/>
  <c r="Q884" i="34"/>
  <c r="A880" i="34"/>
  <c r="R880" i="34"/>
  <c r="O880" i="34"/>
  <c r="S880" i="34"/>
  <c r="AA880" i="34"/>
  <c r="P880" i="34"/>
  <c r="T880" i="34"/>
  <c r="X880" i="34"/>
  <c r="Q880" i="34"/>
  <c r="A876" i="34"/>
  <c r="R876" i="34"/>
  <c r="O876" i="34"/>
  <c r="S876" i="34"/>
  <c r="AA876" i="34"/>
  <c r="P876" i="34"/>
  <c r="T876" i="34"/>
  <c r="X876" i="34"/>
  <c r="Q876" i="34"/>
  <c r="A872" i="34"/>
  <c r="R872" i="34"/>
  <c r="O872" i="34"/>
  <c r="S872" i="34"/>
  <c r="AA872" i="34"/>
  <c r="P872" i="34"/>
  <c r="T872" i="34"/>
  <c r="X872" i="34"/>
  <c r="Q872" i="34"/>
  <c r="A868" i="34"/>
  <c r="O868" i="34"/>
  <c r="AA868" i="34"/>
  <c r="P868" i="34"/>
  <c r="X868" i="34"/>
  <c r="Q868" i="34"/>
  <c r="A852" i="34"/>
  <c r="O852" i="34"/>
  <c r="AA852" i="34"/>
  <c r="P852" i="34"/>
  <c r="X852" i="34"/>
  <c r="Q852" i="34"/>
  <c r="A759" i="34"/>
  <c r="P759" i="34"/>
  <c r="T759" i="34"/>
  <c r="X759" i="34"/>
  <c r="Q759" i="34"/>
  <c r="R759" i="34"/>
  <c r="O759" i="34"/>
  <c r="S759" i="34"/>
  <c r="AA759" i="34"/>
  <c r="A755" i="34"/>
  <c r="P755" i="34"/>
  <c r="X755" i="34"/>
  <c r="Q755" i="34"/>
  <c r="O755" i="34"/>
  <c r="AA755" i="34"/>
  <c r="A751" i="34"/>
  <c r="P751" i="34"/>
  <c r="X751" i="34"/>
  <c r="Q751" i="34"/>
  <c r="O751" i="34"/>
  <c r="AA751" i="34"/>
  <c r="A760" i="34"/>
  <c r="O760" i="34"/>
  <c r="AA760" i="34"/>
  <c r="P760" i="34"/>
  <c r="X760" i="34"/>
  <c r="Q760" i="34"/>
  <c r="A747" i="34"/>
  <c r="P747" i="34"/>
  <c r="X747" i="34"/>
  <c r="Q747" i="34"/>
  <c r="O747" i="34"/>
  <c r="AA747" i="34"/>
  <c r="A743" i="34"/>
  <c r="P743" i="34"/>
  <c r="X743" i="34"/>
  <c r="Q743" i="34"/>
  <c r="O743" i="34"/>
  <c r="AA743" i="34"/>
  <c r="A739" i="34"/>
  <c r="P739" i="34"/>
  <c r="X739" i="34"/>
  <c r="Q739" i="34"/>
  <c r="O739" i="34"/>
  <c r="AA739" i="34"/>
  <c r="A735" i="34"/>
  <c r="P735" i="34"/>
  <c r="X735" i="34"/>
  <c r="Q735" i="34"/>
  <c r="O735" i="34"/>
  <c r="AA735" i="34"/>
  <c r="A731" i="34"/>
  <c r="P731" i="34"/>
  <c r="X731" i="34"/>
  <c r="Q731" i="34"/>
  <c r="O731" i="34"/>
  <c r="AA731" i="34"/>
  <c r="A727" i="34"/>
  <c r="P727" i="34"/>
  <c r="X727" i="34"/>
  <c r="Q727" i="34"/>
  <c r="O727" i="34"/>
  <c r="AA727" i="34"/>
  <c r="A723" i="34"/>
  <c r="P723" i="34"/>
  <c r="T723" i="34"/>
  <c r="X723" i="34"/>
  <c r="Q723" i="34"/>
  <c r="R723" i="34"/>
  <c r="O723" i="34"/>
  <c r="S723" i="34"/>
  <c r="AA723" i="34"/>
  <c r="A719" i="34"/>
  <c r="P719" i="34"/>
  <c r="X719" i="34"/>
  <c r="Q719" i="34"/>
  <c r="O719" i="34"/>
  <c r="AA719" i="34"/>
  <c r="A715" i="34"/>
  <c r="O715" i="34"/>
  <c r="AA715" i="34"/>
  <c r="P715" i="34"/>
  <c r="X715" i="34"/>
  <c r="Q715" i="34"/>
  <c r="O1293" i="34"/>
  <c r="AA1293" i="34"/>
  <c r="P1293" i="34"/>
  <c r="X1293" i="34"/>
  <c r="Q1293" i="34"/>
  <c r="A1293" i="34"/>
  <c r="O1277" i="34"/>
  <c r="AA1277" i="34"/>
  <c r="P1277" i="34"/>
  <c r="X1277" i="34"/>
  <c r="Q1277" i="34"/>
  <c r="A1277" i="34"/>
  <c r="O1261" i="34"/>
  <c r="AA1261" i="34"/>
  <c r="P1261" i="34"/>
  <c r="X1261" i="34"/>
  <c r="Q1261" i="34"/>
  <c r="A1261" i="34"/>
  <c r="O951" i="34"/>
  <c r="AA951" i="34"/>
  <c r="P951" i="34"/>
  <c r="X951" i="34"/>
  <c r="Q951" i="34"/>
  <c r="A951" i="34"/>
  <c r="A947" i="34"/>
  <c r="O947" i="34"/>
  <c r="AA947" i="34"/>
  <c r="P947" i="34"/>
  <c r="X947" i="34"/>
  <c r="Q947" i="34"/>
  <c r="A943" i="34"/>
  <c r="O943" i="34"/>
  <c r="AA943" i="34"/>
  <c r="P943" i="34"/>
  <c r="X943" i="34"/>
  <c r="Q943" i="34"/>
  <c r="A939" i="34"/>
  <c r="O939" i="34"/>
  <c r="AA939" i="34"/>
  <c r="P939" i="34"/>
  <c r="X939" i="34"/>
  <c r="Q939" i="34"/>
  <c r="A935" i="34"/>
  <c r="R935" i="34"/>
  <c r="O935" i="34"/>
  <c r="S935" i="34"/>
  <c r="AA935" i="34"/>
  <c r="P935" i="34"/>
  <c r="T935" i="34"/>
  <c r="X935" i="34"/>
  <c r="Q935" i="34"/>
  <c r="A931" i="34"/>
  <c r="O931" i="34"/>
  <c r="AA931" i="34"/>
  <c r="P931" i="34"/>
  <c r="X931" i="34"/>
  <c r="Q931" i="34"/>
  <c r="A927" i="34"/>
  <c r="O927" i="34"/>
  <c r="AA927" i="34"/>
  <c r="P927" i="34"/>
  <c r="X927" i="34"/>
  <c r="Q927" i="34"/>
  <c r="A923" i="34"/>
  <c r="R923" i="34"/>
  <c r="O923" i="34"/>
  <c r="S923" i="34"/>
  <c r="AA923" i="34"/>
  <c r="P923" i="34"/>
  <c r="T923" i="34"/>
  <c r="X923" i="34"/>
  <c r="Q923" i="34"/>
  <c r="A919" i="34"/>
  <c r="O919" i="34"/>
  <c r="AA919" i="34"/>
  <c r="P919" i="34"/>
  <c r="X919" i="34"/>
  <c r="Q919" i="34"/>
  <c r="A915" i="34"/>
  <c r="O915" i="34"/>
  <c r="AA915" i="34"/>
  <c r="P915" i="34"/>
  <c r="X915" i="34"/>
  <c r="Q915" i="34"/>
  <c r="A911" i="34"/>
  <c r="P911" i="34"/>
  <c r="X911" i="34"/>
  <c r="Q911" i="34"/>
  <c r="O911" i="34"/>
  <c r="AA911" i="34"/>
  <c r="A907" i="34"/>
  <c r="P907" i="34"/>
  <c r="X907" i="34"/>
  <c r="Q907" i="34"/>
  <c r="O907" i="34"/>
  <c r="AA907" i="34"/>
  <c r="A903" i="34"/>
  <c r="P903" i="34"/>
  <c r="T903" i="34"/>
  <c r="X903" i="34"/>
  <c r="Q903" i="34"/>
  <c r="R903" i="34"/>
  <c r="O903" i="34"/>
  <c r="S903" i="34"/>
  <c r="AA903" i="34"/>
  <c r="A899" i="34"/>
  <c r="P899" i="34"/>
  <c r="X899" i="34"/>
  <c r="Q899" i="34"/>
  <c r="O899" i="34"/>
  <c r="AA899" i="34"/>
  <c r="A895" i="34"/>
  <c r="P895" i="34"/>
  <c r="T895" i="34"/>
  <c r="X895" i="34"/>
  <c r="Q895" i="34"/>
  <c r="R895" i="34"/>
  <c r="O895" i="34"/>
  <c r="S895" i="34"/>
  <c r="AA895" i="34"/>
  <c r="A891" i="34"/>
  <c r="P891" i="34"/>
  <c r="T891" i="34"/>
  <c r="X891" i="34"/>
  <c r="Q891" i="34"/>
  <c r="R891" i="34"/>
  <c r="O891" i="34"/>
  <c r="S891" i="34"/>
  <c r="AA891" i="34"/>
  <c r="A887" i="34"/>
  <c r="P887" i="34"/>
  <c r="X887" i="34"/>
  <c r="Q887" i="34"/>
  <c r="O887" i="34"/>
  <c r="AA887" i="34"/>
  <c r="A883" i="34"/>
  <c r="P883" i="34"/>
  <c r="T883" i="34"/>
  <c r="X883" i="34"/>
  <c r="Q883" i="34"/>
  <c r="R883" i="34"/>
  <c r="O883" i="34"/>
  <c r="S883" i="34"/>
  <c r="AA883" i="34"/>
  <c r="A879" i="34"/>
  <c r="P879" i="34"/>
  <c r="T879" i="34"/>
  <c r="X879" i="34"/>
  <c r="Q879" i="34"/>
  <c r="R879" i="34"/>
  <c r="O879" i="34"/>
  <c r="S879" i="34"/>
  <c r="AA879" i="34"/>
  <c r="A875" i="34"/>
  <c r="P875" i="34"/>
  <c r="X875" i="34"/>
  <c r="Q875" i="34"/>
  <c r="O875" i="34"/>
  <c r="AA875" i="34"/>
  <c r="A871" i="34"/>
  <c r="P871" i="34"/>
  <c r="T871" i="34"/>
  <c r="X871" i="34"/>
  <c r="Q871" i="34"/>
  <c r="R871" i="34"/>
  <c r="O871" i="34"/>
  <c r="S871" i="34"/>
  <c r="AA871" i="34"/>
  <c r="A866" i="34"/>
  <c r="O866" i="34"/>
  <c r="AA866" i="34"/>
  <c r="P866" i="34"/>
  <c r="X866" i="34"/>
  <c r="Q866" i="34"/>
  <c r="A851" i="34"/>
  <c r="P851" i="34"/>
  <c r="X851" i="34"/>
  <c r="Q851" i="34"/>
  <c r="O851" i="34"/>
  <c r="AA851" i="34"/>
  <c r="A758" i="34"/>
  <c r="O758" i="34"/>
  <c r="AA758" i="34"/>
  <c r="P758" i="34"/>
  <c r="X758" i="34"/>
  <c r="Q758" i="34"/>
  <c r="A754" i="34"/>
  <c r="O754" i="34"/>
  <c r="AA754" i="34"/>
  <c r="P754" i="34"/>
  <c r="X754" i="34"/>
  <c r="Q754" i="34"/>
  <c r="A750" i="34"/>
  <c r="R750" i="34"/>
  <c r="O750" i="34"/>
  <c r="S750" i="34"/>
  <c r="AA750" i="34"/>
  <c r="P750" i="34"/>
  <c r="T750" i="34"/>
  <c r="X750" i="34"/>
  <c r="Q750" i="34"/>
  <c r="A762" i="34"/>
  <c r="O762" i="34"/>
  <c r="AA762" i="34"/>
  <c r="P762" i="34"/>
  <c r="X762" i="34"/>
  <c r="Q762" i="34"/>
  <c r="A746" i="34"/>
  <c r="O746" i="34"/>
  <c r="AA746" i="34"/>
  <c r="P746" i="34"/>
  <c r="X746" i="34"/>
  <c r="Q746" i="34"/>
  <c r="A742" i="34"/>
  <c r="O742" i="34"/>
  <c r="AA742" i="34"/>
  <c r="P742" i="34"/>
  <c r="X742" i="34"/>
  <c r="Q742" i="34"/>
  <c r="A738" i="34"/>
  <c r="O738" i="34"/>
  <c r="AA738" i="34"/>
  <c r="P738" i="34"/>
  <c r="X738" i="34"/>
  <c r="Q738" i="34"/>
  <c r="A734" i="34"/>
  <c r="O734" i="34"/>
  <c r="AA734" i="34"/>
  <c r="P734" i="34"/>
  <c r="X734" i="34"/>
  <c r="Q734" i="34"/>
  <c r="A730" i="34"/>
  <c r="O730" i="34"/>
  <c r="AA730" i="34"/>
  <c r="P730" i="34"/>
  <c r="X730" i="34"/>
  <c r="Q730" i="34"/>
  <c r="A726" i="34"/>
  <c r="O726" i="34"/>
  <c r="AA726" i="34"/>
  <c r="P726" i="34"/>
  <c r="X726" i="34"/>
  <c r="Q726" i="34"/>
  <c r="A722" i="34"/>
  <c r="R722" i="34"/>
  <c r="O722" i="34"/>
  <c r="S722" i="34"/>
  <c r="AA722" i="34"/>
  <c r="P722" i="34"/>
  <c r="T722" i="34"/>
  <c r="X722" i="34"/>
  <c r="Q722" i="34"/>
  <c r="A718" i="34"/>
  <c r="Q718" i="34"/>
  <c r="AA718" i="34"/>
  <c r="O718" i="34"/>
  <c r="X718" i="34"/>
  <c r="P718" i="34"/>
  <c r="A714" i="34"/>
  <c r="Q714" i="34"/>
  <c r="O714" i="34"/>
  <c r="AA714" i="34"/>
  <c r="P714" i="34"/>
  <c r="X714" i="34"/>
  <c r="O1281" i="34"/>
  <c r="AA1281" i="34"/>
  <c r="P1281" i="34"/>
  <c r="X1281" i="34"/>
  <c r="Q1281" i="34"/>
  <c r="A1281" i="34"/>
  <c r="O1265" i="34"/>
  <c r="AA1265" i="34"/>
  <c r="P1265" i="34"/>
  <c r="X1265" i="34"/>
  <c r="Q1265" i="34"/>
  <c r="A1265" i="34"/>
  <c r="O955" i="34"/>
  <c r="AA955" i="34"/>
  <c r="P955" i="34"/>
  <c r="X955" i="34"/>
  <c r="Q955" i="34"/>
  <c r="A955" i="34"/>
  <c r="Q1292" i="34"/>
  <c r="O1292" i="34"/>
  <c r="AA1292" i="34"/>
  <c r="P1292" i="34"/>
  <c r="X1292" i="34"/>
  <c r="A1292" i="34"/>
  <c r="Q1288" i="34"/>
  <c r="O1288" i="34"/>
  <c r="AA1288" i="34"/>
  <c r="P1288" i="34"/>
  <c r="X1288" i="34"/>
  <c r="A1288" i="34"/>
  <c r="Q1284" i="34"/>
  <c r="O1284" i="34"/>
  <c r="AA1284" i="34"/>
  <c r="P1284" i="34"/>
  <c r="X1284" i="34"/>
  <c r="A1284" i="34"/>
  <c r="Q1280" i="34"/>
  <c r="O1280" i="34"/>
  <c r="AA1280" i="34"/>
  <c r="P1280" i="34"/>
  <c r="X1280" i="34"/>
  <c r="A1280" i="34"/>
  <c r="Q1276" i="34"/>
  <c r="O1276" i="34"/>
  <c r="AA1276" i="34"/>
  <c r="P1276" i="34"/>
  <c r="X1276" i="34"/>
  <c r="A1276" i="34"/>
  <c r="Q1272" i="34"/>
  <c r="O1272" i="34"/>
  <c r="AA1272" i="34"/>
  <c r="P1272" i="34"/>
  <c r="X1272" i="34"/>
  <c r="A1272" i="34"/>
  <c r="Q1268" i="34"/>
  <c r="O1268" i="34"/>
  <c r="AA1268" i="34"/>
  <c r="P1268" i="34"/>
  <c r="X1268" i="34"/>
  <c r="A1268" i="34"/>
  <c r="Q1264" i="34"/>
  <c r="O1264" i="34"/>
  <c r="AA1264" i="34"/>
  <c r="P1264" i="34"/>
  <c r="X1264" i="34"/>
  <c r="A1264" i="34"/>
  <c r="Q1260" i="34"/>
  <c r="O1260" i="34"/>
  <c r="AA1260" i="34"/>
  <c r="P1260" i="34"/>
  <c r="X1260" i="34"/>
  <c r="A1260" i="34"/>
  <c r="P954" i="34"/>
  <c r="X954" i="34"/>
  <c r="Q954" i="34"/>
  <c r="O954" i="34"/>
  <c r="AA954" i="34"/>
  <c r="A954" i="34"/>
  <c r="P950" i="34"/>
  <c r="X950" i="34"/>
  <c r="Q950" i="34"/>
  <c r="O950" i="34"/>
  <c r="AA950" i="34"/>
  <c r="A950" i="34"/>
  <c r="A946" i="34"/>
  <c r="P946" i="34"/>
  <c r="T946" i="34"/>
  <c r="X946" i="34"/>
  <c r="Q946" i="34"/>
  <c r="R946" i="34"/>
  <c r="O946" i="34"/>
  <c r="S946" i="34"/>
  <c r="AA946" i="34"/>
  <c r="A942" i="34"/>
  <c r="P942" i="34"/>
  <c r="X942" i="34"/>
  <c r="Q942" i="34"/>
  <c r="O942" i="34"/>
  <c r="AA942" i="34"/>
  <c r="A938" i="34"/>
  <c r="P938" i="34"/>
  <c r="T938" i="34"/>
  <c r="X938" i="34"/>
  <c r="Q938" i="34"/>
  <c r="R938" i="34"/>
  <c r="O938" i="34"/>
  <c r="S938" i="34"/>
  <c r="AA938" i="34"/>
  <c r="A934" i="34"/>
  <c r="P934" i="34"/>
  <c r="T934" i="34"/>
  <c r="X934" i="34"/>
  <c r="Q934" i="34"/>
  <c r="R934" i="34"/>
  <c r="O934" i="34"/>
  <c r="S934" i="34"/>
  <c r="AA934" i="34"/>
  <c r="A930" i="34"/>
  <c r="P930" i="34"/>
  <c r="X930" i="34"/>
  <c r="Q930" i="34"/>
  <c r="O930" i="34"/>
  <c r="AA930" i="34"/>
  <c r="A926" i="34"/>
  <c r="P926" i="34"/>
  <c r="T926" i="34"/>
  <c r="X926" i="34"/>
  <c r="Q926" i="34"/>
  <c r="R926" i="34"/>
  <c r="O926" i="34"/>
  <c r="S926" i="34"/>
  <c r="AA926" i="34"/>
  <c r="A922" i="34"/>
  <c r="P922" i="34"/>
  <c r="X922" i="34"/>
  <c r="Q922" i="34"/>
  <c r="O922" i="34"/>
  <c r="AA922" i="34"/>
  <c r="A918" i="34"/>
  <c r="P918" i="34"/>
  <c r="X918" i="34"/>
  <c r="Q918" i="34"/>
  <c r="O918" i="34"/>
  <c r="AA918" i="34"/>
  <c r="A914" i="34"/>
  <c r="Q914" i="34"/>
  <c r="O914" i="34"/>
  <c r="X914" i="34"/>
  <c r="P914" i="34"/>
  <c r="AA914" i="34"/>
  <c r="A910" i="34"/>
  <c r="R910" i="34"/>
  <c r="O910" i="34"/>
  <c r="S910" i="34"/>
  <c r="AA910" i="34"/>
  <c r="P910" i="34"/>
  <c r="T910" i="34"/>
  <c r="X910" i="34"/>
  <c r="Q910" i="34"/>
  <c r="A906" i="34"/>
  <c r="R906" i="34"/>
  <c r="O906" i="34"/>
  <c r="S906" i="34"/>
  <c r="AA906" i="34"/>
  <c r="P906" i="34"/>
  <c r="T906" i="34"/>
  <c r="X906" i="34"/>
  <c r="Q906" i="34"/>
  <c r="A902" i="34"/>
  <c r="O902" i="34"/>
  <c r="AA902" i="34"/>
  <c r="P902" i="34"/>
  <c r="X902" i="34"/>
  <c r="Q902" i="34"/>
  <c r="A898" i="34"/>
  <c r="R898" i="34"/>
  <c r="O898" i="34"/>
  <c r="S898" i="34"/>
  <c r="AA898" i="34"/>
  <c r="P898" i="34"/>
  <c r="T898" i="34"/>
  <c r="X898" i="34"/>
  <c r="Q898" i="34"/>
  <c r="A894" i="34"/>
  <c r="R894" i="34"/>
  <c r="O894" i="34"/>
  <c r="S894" i="34"/>
  <c r="AA894" i="34"/>
  <c r="P894" i="34"/>
  <c r="T894" i="34"/>
  <c r="X894" i="34"/>
  <c r="Q894" i="34"/>
  <c r="A890" i="34"/>
  <c r="R890" i="34"/>
  <c r="O890" i="34"/>
  <c r="S890" i="34"/>
  <c r="AA890" i="34"/>
  <c r="P890" i="34"/>
  <c r="T890" i="34"/>
  <c r="X890" i="34"/>
  <c r="Q890" i="34"/>
  <c r="A886" i="34"/>
  <c r="R886" i="34"/>
  <c r="O886" i="34"/>
  <c r="S886" i="34"/>
  <c r="AA886" i="34"/>
  <c r="P886" i="34"/>
  <c r="T886" i="34"/>
  <c r="X886" i="34"/>
  <c r="Q886" i="34"/>
  <c r="A882" i="34"/>
  <c r="R882" i="34"/>
  <c r="O882" i="34"/>
  <c r="S882" i="34"/>
  <c r="AA882" i="34"/>
  <c r="P882" i="34"/>
  <c r="T882" i="34"/>
  <c r="X882" i="34"/>
  <c r="Q882" i="34"/>
  <c r="A878" i="34"/>
  <c r="O878" i="34"/>
  <c r="AA878" i="34"/>
  <c r="P878" i="34"/>
  <c r="X878" i="34"/>
  <c r="Q878" i="34"/>
  <c r="A874" i="34"/>
  <c r="O874" i="34"/>
  <c r="AA874" i="34"/>
  <c r="P874" i="34"/>
  <c r="X874" i="34"/>
  <c r="Q874" i="34"/>
  <c r="A870" i="34"/>
  <c r="R870" i="34"/>
  <c r="O870" i="34"/>
  <c r="S870" i="34"/>
  <c r="AA870" i="34"/>
  <c r="P870" i="34"/>
  <c r="T870" i="34"/>
  <c r="X870" i="34"/>
  <c r="Q870" i="34"/>
  <c r="A856" i="34"/>
  <c r="R856" i="34"/>
  <c r="O856" i="34"/>
  <c r="S856" i="34"/>
  <c r="AA856" i="34"/>
  <c r="P856" i="34"/>
  <c r="T856" i="34"/>
  <c r="X856" i="34"/>
  <c r="Q856" i="34"/>
  <c r="A850" i="34"/>
  <c r="O850" i="34"/>
  <c r="AA850" i="34"/>
  <c r="P850" i="34"/>
  <c r="X850" i="34"/>
  <c r="Q850" i="34"/>
  <c r="A757" i="34"/>
  <c r="P757" i="34"/>
  <c r="X757" i="34"/>
  <c r="Q757" i="34"/>
  <c r="O757" i="34"/>
  <c r="AA757" i="34"/>
  <c r="A753" i="34"/>
  <c r="P753" i="34"/>
  <c r="X753" i="34"/>
  <c r="Q753" i="34"/>
  <c r="O753" i="34"/>
  <c r="AA753" i="34"/>
  <c r="A749" i="34"/>
  <c r="P749" i="34"/>
  <c r="T749" i="34"/>
  <c r="X749" i="34"/>
  <c r="Q749" i="34"/>
  <c r="R749" i="34"/>
  <c r="O749" i="34"/>
  <c r="S749" i="34"/>
  <c r="AA749" i="34"/>
  <c r="A761" i="34"/>
  <c r="P761" i="34"/>
  <c r="X761" i="34"/>
  <c r="Q761" i="34"/>
  <c r="O761" i="34"/>
  <c r="AA761" i="34"/>
  <c r="A745" i="34"/>
  <c r="P745" i="34"/>
  <c r="T745" i="34"/>
  <c r="X745" i="34"/>
  <c r="Q745" i="34"/>
  <c r="R745" i="34"/>
  <c r="O745" i="34"/>
  <c r="S745" i="34"/>
  <c r="AA745" i="34"/>
  <c r="A741" i="34"/>
  <c r="P741" i="34"/>
  <c r="X741" i="34"/>
  <c r="Q741" i="34"/>
  <c r="O741" i="34"/>
  <c r="AA741" i="34"/>
  <c r="A737" i="34"/>
  <c r="P737" i="34"/>
  <c r="X737" i="34"/>
  <c r="Q737" i="34"/>
  <c r="O737" i="34"/>
  <c r="AA737" i="34"/>
  <c r="A733" i="34"/>
  <c r="P733" i="34"/>
  <c r="X733" i="34"/>
  <c r="Q733" i="34"/>
  <c r="O733" i="34"/>
  <c r="AA733" i="34"/>
  <c r="A729" i="34"/>
  <c r="P729" i="34"/>
  <c r="T729" i="34"/>
  <c r="X729" i="34"/>
  <c r="Q729" i="34"/>
  <c r="R729" i="34"/>
  <c r="O729" i="34"/>
  <c r="S729" i="34"/>
  <c r="AA729" i="34"/>
  <c r="A725" i="34"/>
  <c r="P725" i="34"/>
  <c r="X725" i="34"/>
  <c r="Q725" i="34"/>
  <c r="O725" i="34"/>
  <c r="AA725" i="34"/>
  <c r="A721" i="34"/>
  <c r="P721" i="34"/>
  <c r="X721" i="34"/>
  <c r="Q721" i="34"/>
  <c r="O721" i="34"/>
  <c r="AA721" i="34"/>
  <c r="A717" i="34"/>
  <c r="O717" i="34"/>
  <c r="AA717" i="34"/>
  <c r="P717" i="34"/>
  <c r="X717" i="34"/>
  <c r="Q717" i="34"/>
  <c r="A713" i="34"/>
  <c r="O713" i="34"/>
  <c r="AA713" i="34"/>
  <c r="P713" i="34"/>
  <c r="X713" i="34"/>
  <c r="Q713" i="34"/>
  <c r="O1285" i="34"/>
  <c r="AA1285" i="34"/>
  <c r="P1285" i="34"/>
  <c r="X1285" i="34"/>
  <c r="Q1285" i="34"/>
  <c r="A1285" i="34"/>
  <c r="O1273" i="34"/>
  <c r="AA1273" i="34"/>
  <c r="P1273" i="34"/>
  <c r="X1273" i="34"/>
  <c r="Q1273" i="34"/>
  <c r="A1273" i="34"/>
  <c r="O1291" i="34"/>
  <c r="AA1291" i="34"/>
  <c r="P1291" i="34"/>
  <c r="X1291" i="34"/>
  <c r="Q1291" i="34"/>
  <c r="A1291" i="34"/>
  <c r="O1283" i="34"/>
  <c r="AA1283" i="34"/>
  <c r="P1283" i="34"/>
  <c r="X1283" i="34"/>
  <c r="Q1283" i="34"/>
  <c r="A1283" i="34"/>
  <c r="O1279" i="34"/>
  <c r="AA1279" i="34"/>
  <c r="P1279" i="34"/>
  <c r="X1279" i="34"/>
  <c r="Q1279" i="34"/>
  <c r="A1279" i="34"/>
  <c r="O1275" i="34"/>
  <c r="AA1275" i="34"/>
  <c r="P1275" i="34"/>
  <c r="X1275" i="34"/>
  <c r="Q1275" i="34"/>
  <c r="A1275" i="34"/>
  <c r="O1271" i="34"/>
  <c r="AA1271" i="34"/>
  <c r="P1271" i="34"/>
  <c r="X1271" i="34"/>
  <c r="Q1271" i="34"/>
  <c r="A1271" i="34"/>
  <c r="O1267" i="34"/>
  <c r="AA1267" i="34"/>
  <c r="P1267" i="34"/>
  <c r="X1267" i="34"/>
  <c r="Q1267" i="34"/>
  <c r="A1267" i="34"/>
  <c r="O1263" i="34"/>
  <c r="AA1263" i="34"/>
  <c r="P1263" i="34"/>
  <c r="X1263" i="34"/>
  <c r="Q1263" i="34"/>
  <c r="A1263" i="34"/>
  <c r="O957" i="34"/>
  <c r="AA957" i="34"/>
  <c r="P957" i="34"/>
  <c r="X957" i="34"/>
  <c r="Q957" i="34"/>
  <c r="A957" i="34"/>
  <c r="O953" i="34"/>
  <c r="AA953" i="34"/>
  <c r="P953" i="34"/>
  <c r="X953" i="34"/>
  <c r="Q953" i="34"/>
  <c r="A953" i="34"/>
  <c r="O949" i="34"/>
  <c r="AA949" i="34"/>
  <c r="P949" i="34"/>
  <c r="X949" i="34"/>
  <c r="Q949" i="34"/>
  <c r="A949" i="34"/>
  <c r="A945" i="34"/>
  <c r="O945" i="34"/>
  <c r="AA945" i="34"/>
  <c r="P945" i="34"/>
  <c r="X945" i="34"/>
  <c r="Q945" i="34"/>
  <c r="A941" i="34"/>
  <c r="O941" i="34"/>
  <c r="AA941" i="34"/>
  <c r="P941" i="34"/>
  <c r="X941" i="34"/>
  <c r="Q941" i="34"/>
  <c r="A937" i="34"/>
  <c r="R937" i="34"/>
  <c r="O937" i="34"/>
  <c r="S937" i="34"/>
  <c r="AA937" i="34"/>
  <c r="P937" i="34"/>
  <c r="T937" i="34"/>
  <c r="X937" i="34"/>
  <c r="Q937" i="34"/>
  <c r="A933" i="34"/>
  <c r="R933" i="34"/>
  <c r="O933" i="34"/>
  <c r="S933" i="34"/>
  <c r="AA933" i="34"/>
  <c r="P933" i="34"/>
  <c r="T933" i="34"/>
  <c r="X933" i="34"/>
  <c r="Q933" i="34"/>
  <c r="A929" i="34"/>
  <c r="R929" i="34"/>
  <c r="O929" i="34"/>
  <c r="S929" i="34"/>
  <c r="AA929" i="34"/>
  <c r="P929" i="34"/>
  <c r="T929" i="34"/>
  <c r="X929" i="34"/>
  <c r="Q929" i="34"/>
  <c r="A925" i="34"/>
  <c r="R925" i="34"/>
  <c r="O925" i="34"/>
  <c r="S925" i="34"/>
  <c r="AA925" i="34"/>
  <c r="P925" i="34"/>
  <c r="T925" i="34"/>
  <c r="X925" i="34"/>
  <c r="Q925" i="34"/>
  <c r="A921" i="34"/>
  <c r="O921" i="34"/>
  <c r="AA921" i="34"/>
  <c r="P921" i="34"/>
  <c r="X921" i="34"/>
  <c r="Q921" i="34"/>
  <c r="A917" i="34"/>
  <c r="O917" i="34"/>
  <c r="AA917" i="34"/>
  <c r="P917" i="34"/>
  <c r="X917" i="34"/>
  <c r="Q917" i="34"/>
  <c r="A913" i="34"/>
  <c r="P913" i="34"/>
  <c r="X913" i="34"/>
  <c r="Q913" i="34"/>
  <c r="O913" i="34"/>
  <c r="AA913" i="34"/>
  <c r="A909" i="34"/>
  <c r="P909" i="34"/>
  <c r="T909" i="34"/>
  <c r="X909" i="34"/>
  <c r="Q909" i="34"/>
  <c r="R909" i="34"/>
  <c r="O909" i="34"/>
  <c r="S909" i="34"/>
  <c r="AA909" i="34"/>
  <c r="A905" i="34"/>
  <c r="P905" i="34"/>
  <c r="T905" i="34"/>
  <c r="X905" i="34"/>
  <c r="Q905" i="34"/>
  <c r="R905" i="34"/>
  <c r="O905" i="34"/>
  <c r="S905" i="34"/>
  <c r="AA905" i="34"/>
  <c r="A901" i="34"/>
  <c r="P901" i="34"/>
  <c r="X901" i="34"/>
  <c r="Q901" i="34"/>
  <c r="O901" i="34"/>
  <c r="AA901" i="34"/>
  <c r="A897" i="34"/>
  <c r="P897" i="34"/>
  <c r="T897" i="34"/>
  <c r="X897" i="34"/>
  <c r="Q897" i="34"/>
  <c r="R897" i="34"/>
  <c r="O897" i="34"/>
  <c r="S897" i="34"/>
  <c r="AA897" i="34"/>
  <c r="A893" i="34"/>
  <c r="P893" i="34"/>
  <c r="T893" i="34"/>
  <c r="X893" i="34"/>
  <c r="Q893" i="34"/>
  <c r="R893" i="34"/>
  <c r="O893" i="34"/>
  <c r="S893" i="34"/>
  <c r="AA893" i="34"/>
  <c r="A889" i="34"/>
  <c r="P889" i="34"/>
  <c r="T889" i="34"/>
  <c r="X889" i="34"/>
  <c r="Q889" i="34"/>
  <c r="R889" i="34"/>
  <c r="O889" i="34"/>
  <c r="S889" i="34"/>
  <c r="AA889" i="34"/>
  <c r="A885" i="34"/>
  <c r="P885" i="34"/>
  <c r="T885" i="34"/>
  <c r="X885" i="34"/>
  <c r="Q885" i="34"/>
  <c r="R885" i="34"/>
  <c r="O885" i="34"/>
  <c r="S885" i="34"/>
  <c r="AA885" i="34"/>
  <c r="A881" i="34"/>
  <c r="P881" i="34"/>
  <c r="T881" i="34"/>
  <c r="X881" i="34"/>
  <c r="Q881" i="34"/>
  <c r="R881" i="34"/>
  <c r="O881" i="34"/>
  <c r="S881" i="34"/>
  <c r="AA881" i="34"/>
  <c r="A877" i="34"/>
  <c r="P877" i="34"/>
  <c r="X877" i="34"/>
  <c r="Q877" i="34"/>
  <c r="O877" i="34"/>
  <c r="AA877" i="34"/>
  <c r="A873" i="34"/>
  <c r="P873" i="34"/>
  <c r="T873" i="34"/>
  <c r="X873" i="34"/>
  <c r="Q873" i="34"/>
  <c r="R873" i="34"/>
  <c r="O873" i="34"/>
  <c r="S873" i="34"/>
  <c r="AA873" i="34"/>
  <c r="A869" i="34"/>
  <c r="P869" i="34"/>
  <c r="T869" i="34"/>
  <c r="X869" i="34"/>
  <c r="Q869" i="34"/>
  <c r="R869" i="34"/>
  <c r="O869" i="34"/>
  <c r="S869" i="34"/>
  <c r="AA869" i="34"/>
  <c r="A854" i="34"/>
  <c r="R854" i="34"/>
  <c r="O854" i="34"/>
  <c r="S854" i="34"/>
  <c r="AA854" i="34"/>
  <c r="P854" i="34"/>
  <c r="T854" i="34"/>
  <c r="X854" i="34"/>
  <c r="Q854" i="34"/>
  <c r="A849" i="34"/>
  <c r="P849" i="34"/>
  <c r="X849" i="34"/>
  <c r="Q849" i="34"/>
  <c r="O849" i="34"/>
  <c r="AA849" i="34"/>
  <c r="A756" i="34"/>
  <c r="O756" i="34"/>
  <c r="AA756" i="34"/>
  <c r="P756" i="34"/>
  <c r="X756" i="34"/>
  <c r="Q756" i="34"/>
  <c r="A752" i="34"/>
  <c r="O752" i="34"/>
  <c r="AA752" i="34"/>
  <c r="P752" i="34"/>
  <c r="X752" i="34"/>
  <c r="Q752" i="34"/>
  <c r="A748" i="34"/>
  <c r="R748" i="34"/>
  <c r="O748" i="34"/>
  <c r="S748" i="34"/>
  <c r="AA748" i="34"/>
  <c r="P748" i="34"/>
  <c r="T748" i="34"/>
  <c r="X748" i="34"/>
  <c r="Q748" i="34"/>
  <c r="A602" i="34"/>
  <c r="P602" i="34"/>
  <c r="X602" i="34"/>
  <c r="Q602" i="34"/>
  <c r="O602" i="34"/>
  <c r="AA602" i="34"/>
  <c r="A744" i="34"/>
  <c r="O744" i="34"/>
  <c r="AA744" i="34"/>
  <c r="P744" i="34"/>
  <c r="X744" i="34"/>
  <c r="Q744" i="34"/>
  <c r="A740" i="34"/>
  <c r="R740" i="34"/>
  <c r="O740" i="34"/>
  <c r="S740" i="34"/>
  <c r="AA740" i="34"/>
  <c r="P740" i="34"/>
  <c r="T740" i="34"/>
  <c r="X740" i="34"/>
  <c r="Q740" i="34"/>
  <c r="A736" i="34"/>
  <c r="O736" i="34"/>
  <c r="AA736" i="34"/>
  <c r="P736" i="34"/>
  <c r="X736" i="34"/>
  <c r="Q736" i="34"/>
  <c r="A732" i="34"/>
  <c r="O732" i="34"/>
  <c r="AA732" i="34"/>
  <c r="P732" i="34"/>
  <c r="X732" i="34"/>
  <c r="Q732" i="34"/>
  <c r="A728" i="34"/>
  <c r="O728" i="34"/>
  <c r="AA728" i="34"/>
  <c r="P728" i="34"/>
  <c r="X728" i="34"/>
  <c r="Q728" i="34"/>
  <c r="A724" i="34"/>
  <c r="R724" i="34"/>
  <c r="O724" i="34"/>
  <c r="S724" i="34"/>
  <c r="AA724" i="34"/>
  <c r="P724" i="34"/>
  <c r="T724" i="34"/>
  <c r="X724" i="34"/>
  <c r="Q724" i="34"/>
  <c r="A720" i="34"/>
  <c r="O720" i="34"/>
  <c r="AA720" i="34"/>
  <c r="P720" i="34"/>
  <c r="X720" i="34"/>
  <c r="Q720" i="34"/>
  <c r="A716" i="34"/>
  <c r="Q716" i="34"/>
  <c r="O716" i="34"/>
  <c r="AA716" i="34"/>
  <c r="P716" i="34"/>
  <c r="X716" i="34"/>
  <c r="A712" i="34"/>
  <c r="Q712" i="34"/>
  <c r="R712" i="34"/>
  <c r="O712" i="34"/>
  <c r="S712" i="34"/>
  <c r="AA712" i="34"/>
  <c r="P712" i="34"/>
  <c r="T712" i="34"/>
  <c r="X712" i="34"/>
  <c r="I6" i="43"/>
  <c r="A5" i="12" l="1"/>
  <c r="A6" i="12"/>
  <c r="A7" i="12"/>
  <c r="A8" i="12"/>
  <c r="A4" i="12"/>
  <c r="B770" i="34" l="1"/>
  <c r="B765" i="34"/>
  <c r="B764" i="34"/>
  <c r="B768" i="34"/>
  <c r="B772" i="34"/>
  <c r="B771" i="34"/>
  <c r="B767" i="34"/>
  <c r="B766" i="34"/>
  <c r="B769" i="34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A16" i="55"/>
  <c r="B15" i="55"/>
  <c r="A15" i="55" s="1"/>
  <c r="B13" i="55"/>
  <c r="A13" i="55" s="1"/>
  <c r="B12" i="55"/>
  <c r="E16" i="55"/>
  <c r="F17" i="55"/>
  <c r="A766" i="34" l="1"/>
  <c r="R766" i="34"/>
  <c r="O766" i="34"/>
  <c r="S766" i="34"/>
  <c r="AA766" i="34"/>
  <c r="P766" i="34"/>
  <c r="T766" i="34"/>
  <c r="X766" i="34"/>
  <c r="Q766" i="34"/>
  <c r="A768" i="34"/>
  <c r="O768" i="34"/>
  <c r="AA768" i="34"/>
  <c r="P768" i="34"/>
  <c r="X768" i="34"/>
  <c r="Q768" i="34"/>
  <c r="A767" i="34"/>
  <c r="P767" i="34"/>
  <c r="T767" i="34"/>
  <c r="X767" i="34"/>
  <c r="Q767" i="34"/>
  <c r="R767" i="34"/>
  <c r="O767" i="34"/>
  <c r="S767" i="34"/>
  <c r="AA767" i="34"/>
  <c r="A764" i="34"/>
  <c r="O764" i="34"/>
  <c r="AA764" i="34"/>
  <c r="P764" i="34"/>
  <c r="X764" i="34"/>
  <c r="Q764" i="34"/>
  <c r="A771" i="34"/>
  <c r="P771" i="34"/>
  <c r="X771" i="34"/>
  <c r="Q771" i="34"/>
  <c r="O771" i="34"/>
  <c r="AA771" i="34"/>
  <c r="A765" i="34"/>
  <c r="P765" i="34"/>
  <c r="X765" i="34"/>
  <c r="Q765" i="34"/>
  <c r="O765" i="34"/>
  <c r="AA765" i="34"/>
  <c r="A769" i="34"/>
  <c r="P769" i="34"/>
  <c r="X769" i="34"/>
  <c r="Q769" i="34"/>
  <c r="O769" i="34"/>
  <c r="AA769" i="34"/>
  <c r="A772" i="34"/>
  <c r="O772" i="34"/>
  <c r="AA772" i="34"/>
  <c r="P772" i="34"/>
  <c r="X772" i="34"/>
  <c r="Q772" i="34"/>
  <c r="A770" i="34"/>
  <c r="O770" i="34"/>
  <c r="AA770" i="34"/>
  <c r="P770" i="34"/>
  <c r="X770" i="34"/>
  <c r="Q770" i="34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A15" i="34" s="1"/>
  <c r="C20" i="34"/>
  <c r="B20" i="34" s="1"/>
  <c r="A20" i="34" s="1"/>
  <c r="C16" i="34"/>
  <c r="B16" i="34" s="1"/>
  <c r="A16" i="34" s="1"/>
  <c r="C17" i="34"/>
  <c r="B17" i="34" s="1"/>
  <c r="A17" i="34" s="1"/>
  <c r="C18" i="34"/>
  <c r="B18" i="34" s="1"/>
  <c r="A18" i="34" s="1"/>
  <c r="C19" i="34"/>
  <c r="B19" i="34" s="1"/>
  <c r="A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2" i="15" l="1"/>
  <c r="D22" i="15"/>
  <c r="C48" i="15"/>
  <c r="D48" i="15"/>
  <c r="D53" i="15" l="1"/>
  <c r="A31" i="58" l="1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1" i="15"/>
  <c r="D68" i="15" s="1"/>
  <c r="C51" i="15"/>
  <c r="C68" i="15" s="1"/>
  <c r="V28" i="34" l="1"/>
  <c r="V24" i="34"/>
  <c r="V31" i="34"/>
  <c r="V59" i="34"/>
  <c r="V32" i="34"/>
  <c r="V58" i="34"/>
  <c r="V25" i="34"/>
  <c r="V27" i="34"/>
  <c r="V30" i="34"/>
  <c r="V60" i="34"/>
  <c r="V23" i="34"/>
  <c r="V26" i="34"/>
  <c r="V29" i="34"/>
  <c r="V61" i="34"/>
  <c r="V65" i="34"/>
  <c r="V69" i="34"/>
  <c r="V73" i="34"/>
  <c r="V77" i="34"/>
  <c r="V81" i="34"/>
  <c r="V85" i="34"/>
  <c r="V89" i="34"/>
  <c r="V93" i="34"/>
  <c r="V97" i="34"/>
  <c r="V103" i="34"/>
  <c r="V107" i="34"/>
  <c r="V114" i="34"/>
  <c r="V117" i="34"/>
  <c r="V121" i="34"/>
  <c r="V125" i="34"/>
  <c r="V127" i="34"/>
  <c r="V129" i="34"/>
  <c r="V131" i="34"/>
  <c r="V142" i="34"/>
  <c r="V146" i="34"/>
  <c r="V150" i="34"/>
  <c r="V154" i="34"/>
  <c r="V158" i="34"/>
  <c r="V162" i="34"/>
  <c r="V166" i="34"/>
  <c r="V170" i="34"/>
  <c r="V174" i="34"/>
  <c r="V176" i="34"/>
  <c r="V178" i="34"/>
  <c r="V180" i="34"/>
  <c r="V182" i="34"/>
  <c r="V186" i="34"/>
  <c r="V189" i="34"/>
  <c r="V192" i="34"/>
  <c r="V196" i="34"/>
  <c r="V200" i="34"/>
  <c r="V204" i="34"/>
  <c r="V208" i="34"/>
  <c r="V212" i="34"/>
  <c r="V216" i="34"/>
  <c r="V220" i="34"/>
  <c r="V223" i="34"/>
  <c r="V230" i="34"/>
  <c r="V233" i="34"/>
  <c r="V237" i="34"/>
  <c r="V241" i="34"/>
  <c r="V244" i="34"/>
  <c r="V246" i="34"/>
  <c r="V248" i="34"/>
  <c r="V250" i="34"/>
  <c r="V252" i="34"/>
  <c r="V254" i="34"/>
  <c r="V258" i="34"/>
  <c r="V262" i="34"/>
  <c r="V266" i="34"/>
  <c r="V270" i="34"/>
  <c r="V274" i="34"/>
  <c r="V278" i="34"/>
  <c r="V282" i="34"/>
  <c r="V285" i="34"/>
  <c r="V289" i="34"/>
  <c r="V292" i="34"/>
  <c r="V296" i="34"/>
  <c r="V300" i="34"/>
  <c r="V304" i="34"/>
  <c r="V308" i="34"/>
  <c r="V312" i="34"/>
  <c r="V316" i="34"/>
  <c r="V320" i="34"/>
  <c r="V324" i="34"/>
  <c r="V328" i="34"/>
  <c r="V332" i="34"/>
  <c r="V336" i="34"/>
  <c r="V340" i="34"/>
  <c r="V343" i="34"/>
  <c r="V345" i="34"/>
  <c r="V348" i="34"/>
  <c r="V352" i="34"/>
  <c r="V356" i="34"/>
  <c r="V362" i="34"/>
  <c r="V366" i="34"/>
  <c r="V370" i="34"/>
  <c r="V374" i="34"/>
  <c r="V378" i="34"/>
  <c r="V382" i="34"/>
  <c r="V62" i="34"/>
  <c r="V66" i="34"/>
  <c r="V70" i="34"/>
  <c r="V74" i="34"/>
  <c r="V78" i="34"/>
  <c r="V82" i="34"/>
  <c r="V86" i="34"/>
  <c r="V90" i="34"/>
  <c r="V94" i="34"/>
  <c r="V98" i="34"/>
  <c r="V101" i="34"/>
  <c r="V104" i="34"/>
  <c r="V108" i="34"/>
  <c r="V111" i="34"/>
  <c r="V118" i="34"/>
  <c r="V122" i="34"/>
  <c r="V132" i="34"/>
  <c r="V135" i="34"/>
  <c r="V138" i="34"/>
  <c r="V140" i="34"/>
  <c r="V143" i="34"/>
  <c r="V147" i="34"/>
  <c r="V151" i="34"/>
  <c r="V155" i="34"/>
  <c r="V159" i="34"/>
  <c r="V163" i="34"/>
  <c r="V167" i="34"/>
  <c r="V171" i="34"/>
  <c r="V183" i="34"/>
  <c r="V187" i="34"/>
  <c r="V193" i="34"/>
  <c r="V197" i="34"/>
  <c r="V201" i="34"/>
  <c r="V205" i="34"/>
  <c r="V209" i="34"/>
  <c r="V213" i="34"/>
  <c r="V217" i="34"/>
  <c r="V221" i="34"/>
  <c r="V224" i="34"/>
  <c r="V227" i="34"/>
  <c r="V231" i="34"/>
  <c r="V234" i="34"/>
  <c r="V238" i="34"/>
  <c r="V242" i="34"/>
  <c r="V255" i="34"/>
  <c r="V259" i="34"/>
  <c r="V263" i="34"/>
  <c r="V267" i="34"/>
  <c r="V271" i="34"/>
  <c r="V275" i="34"/>
  <c r="V279" i="34"/>
  <c r="V286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9" i="34"/>
  <c r="V353" i="34"/>
  <c r="V357" i="34"/>
  <c r="V360" i="34"/>
  <c r="V363" i="34"/>
  <c r="V63" i="34"/>
  <c r="V67" i="34"/>
  <c r="V71" i="34"/>
  <c r="V75" i="34"/>
  <c r="V79" i="34"/>
  <c r="V83" i="34"/>
  <c r="V87" i="34"/>
  <c r="V91" i="34"/>
  <c r="V95" i="34"/>
  <c r="V99" i="34"/>
  <c r="V105" i="34"/>
  <c r="V109" i="34"/>
  <c r="V112" i="34"/>
  <c r="V115" i="34"/>
  <c r="V119" i="34"/>
  <c r="V123" i="34"/>
  <c r="V126" i="34"/>
  <c r="V128" i="34"/>
  <c r="V130" i="34"/>
  <c r="V133" i="34"/>
  <c r="V136" i="34"/>
  <c r="V141" i="34"/>
  <c r="V144" i="34"/>
  <c r="V148" i="34"/>
  <c r="V152" i="34"/>
  <c r="V156" i="34"/>
  <c r="V160" i="34"/>
  <c r="V164" i="34"/>
  <c r="V168" i="34"/>
  <c r="V172" i="34"/>
  <c r="V175" i="34"/>
  <c r="V177" i="34"/>
  <c r="V179" i="34"/>
  <c r="V181" i="34"/>
  <c r="V184" i="34"/>
  <c r="V188" i="34"/>
  <c r="V190" i="34"/>
  <c r="V194" i="34"/>
  <c r="V198" i="34"/>
  <c r="V202" i="34"/>
  <c r="V206" i="34"/>
  <c r="V210" i="34"/>
  <c r="V214" i="34"/>
  <c r="V218" i="34"/>
  <c r="V225" i="34"/>
  <c r="V228" i="34"/>
  <c r="V232" i="34"/>
  <c r="V235" i="34"/>
  <c r="V239" i="34"/>
  <c r="V243" i="34"/>
  <c r="V245" i="34"/>
  <c r="V247" i="34"/>
  <c r="V249" i="34"/>
  <c r="V251" i="34"/>
  <c r="V253" i="34"/>
  <c r="V256" i="34"/>
  <c r="V260" i="34"/>
  <c r="V264" i="34"/>
  <c r="V268" i="34"/>
  <c r="V272" i="34"/>
  <c r="V276" i="34"/>
  <c r="V280" i="34"/>
  <c r="V283" i="34"/>
  <c r="V287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4" i="34"/>
  <c r="V346" i="34"/>
  <c r="V350" i="34"/>
  <c r="V354" i="34"/>
  <c r="V358" i="34"/>
  <c r="V64" i="34"/>
  <c r="V68" i="34"/>
  <c r="V72" i="34"/>
  <c r="V76" i="34"/>
  <c r="V80" i="34"/>
  <c r="V84" i="34"/>
  <c r="V88" i="34"/>
  <c r="V92" i="34"/>
  <c r="V96" i="34"/>
  <c r="V100" i="34"/>
  <c r="V102" i="34"/>
  <c r="V106" i="34"/>
  <c r="V110" i="34"/>
  <c r="V113" i="34"/>
  <c r="V116" i="34"/>
  <c r="V120" i="34"/>
  <c r="V124" i="34"/>
  <c r="V134" i="34"/>
  <c r="V137" i="34"/>
  <c r="V139" i="34"/>
  <c r="V145" i="34"/>
  <c r="V149" i="34"/>
  <c r="V153" i="34"/>
  <c r="V157" i="34"/>
  <c r="V161" i="34"/>
  <c r="V165" i="34"/>
  <c r="V169" i="34"/>
  <c r="V173" i="34"/>
  <c r="V185" i="34"/>
  <c r="V191" i="34"/>
  <c r="V195" i="34"/>
  <c r="V199" i="34"/>
  <c r="V203" i="34"/>
  <c r="V207" i="34"/>
  <c r="V211" i="34"/>
  <c r="V215" i="34"/>
  <c r="V219" i="34"/>
  <c r="V222" i="34"/>
  <c r="V226" i="34"/>
  <c r="V229" i="34"/>
  <c r="V236" i="34"/>
  <c r="V240" i="34"/>
  <c r="V257" i="34"/>
  <c r="V261" i="34"/>
  <c r="V265" i="34"/>
  <c r="V269" i="34"/>
  <c r="V273" i="34"/>
  <c r="V277" i="34"/>
  <c r="V281" i="34"/>
  <c r="V284" i="34"/>
  <c r="V288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7" i="34"/>
  <c r="V351" i="34"/>
  <c r="V355" i="34"/>
  <c r="V359" i="34"/>
  <c r="V361" i="34"/>
  <c r="V365" i="34"/>
  <c r="V369" i="34"/>
  <c r="V373" i="34"/>
  <c r="V367" i="34"/>
  <c r="V375" i="34"/>
  <c r="V380" i="34"/>
  <c r="V385" i="34"/>
  <c r="V389" i="34"/>
  <c r="V393" i="34"/>
  <c r="V397" i="34"/>
  <c r="V401" i="34"/>
  <c r="V404" i="34"/>
  <c r="V408" i="34"/>
  <c r="V412" i="34"/>
  <c r="V420" i="34"/>
  <c r="V424" i="34"/>
  <c r="V428" i="34"/>
  <c r="V432" i="34"/>
  <c r="V436" i="34"/>
  <c r="V439" i="34"/>
  <c r="V442" i="34"/>
  <c r="V446" i="34"/>
  <c r="V450" i="34"/>
  <c r="V454" i="34"/>
  <c r="V458" i="34"/>
  <c r="V460" i="34"/>
  <c r="V462" i="34"/>
  <c r="V464" i="34"/>
  <c r="V467" i="34"/>
  <c r="V471" i="34"/>
  <c r="V475" i="34"/>
  <c r="V479" i="34"/>
  <c r="V483" i="34"/>
  <c r="V487" i="34"/>
  <c r="V491" i="34"/>
  <c r="V495" i="34"/>
  <c r="V499" i="34"/>
  <c r="V501" i="34"/>
  <c r="V503" i="34"/>
  <c r="V506" i="34"/>
  <c r="V510" i="34"/>
  <c r="V514" i="34"/>
  <c r="V518" i="34"/>
  <c r="V522" i="34"/>
  <c r="V526" i="34"/>
  <c r="V532" i="34"/>
  <c r="V536" i="34"/>
  <c r="V539" i="34"/>
  <c r="V541" i="34"/>
  <c r="V543" i="34"/>
  <c r="V547" i="34"/>
  <c r="V550" i="34"/>
  <c r="V553" i="34"/>
  <c r="V556" i="34"/>
  <c r="V560" i="34"/>
  <c r="V563" i="34"/>
  <c r="V567" i="34"/>
  <c r="V571" i="34"/>
  <c r="V575" i="34"/>
  <c r="V578" i="34"/>
  <c r="V581" i="34"/>
  <c r="V584" i="34"/>
  <c r="V588" i="34"/>
  <c r="V590" i="34"/>
  <c r="V592" i="34"/>
  <c r="V596" i="34"/>
  <c r="V600" i="34"/>
  <c r="V604" i="34"/>
  <c r="V607" i="34"/>
  <c r="V610" i="34"/>
  <c r="V614" i="34"/>
  <c r="V618" i="34"/>
  <c r="V620" i="34"/>
  <c r="V622" i="34"/>
  <c r="V624" i="34"/>
  <c r="V627" i="34"/>
  <c r="V631" i="34"/>
  <c r="V634" i="34"/>
  <c r="V638" i="34"/>
  <c r="V640" i="34"/>
  <c r="V642" i="34"/>
  <c r="V644" i="34"/>
  <c r="V647" i="34"/>
  <c r="V657" i="34"/>
  <c r="V661" i="34"/>
  <c r="V664" i="34"/>
  <c r="V668" i="34"/>
  <c r="V676" i="34"/>
  <c r="V368" i="34"/>
  <c r="V376" i="34"/>
  <c r="V381" i="34"/>
  <c r="V386" i="34"/>
  <c r="V390" i="34"/>
  <c r="V394" i="34"/>
  <c r="V398" i="34"/>
  <c r="V405" i="34"/>
  <c r="V409" i="34"/>
  <c r="V413" i="34"/>
  <c r="V416" i="34"/>
  <c r="V418" i="34"/>
  <c r="V421" i="34"/>
  <c r="V425" i="34"/>
  <c r="V429" i="34"/>
  <c r="V433" i="34"/>
  <c r="V437" i="34"/>
  <c r="V443" i="34"/>
  <c r="V447" i="34"/>
  <c r="V451" i="34"/>
  <c r="V455" i="34"/>
  <c r="V468" i="34"/>
  <c r="V472" i="34"/>
  <c r="V476" i="34"/>
  <c r="V480" i="34"/>
  <c r="V484" i="34"/>
  <c r="V488" i="34"/>
  <c r="V492" i="34"/>
  <c r="V496" i="34"/>
  <c r="V507" i="34"/>
  <c r="V511" i="34"/>
  <c r="V515" i="34"/>
  <c r="V519" i="34"/>
  <c r="V523" i="34"/>
  <c r="V527" i="34"/>
  <c r="V530" i="34"/>
  <c r="V533" i="34"/>
  <c r="V544" i="34"/>
  <c r="V548" i="34"/>
  <c r="V554" i="34"/>
  <c r="V557" i="34"/>
  <c r="V561" i="34"/>
  <c r="V564" i="34"/>
  <c r="V568" i="34"/>
  <c r="V572" i="34"/>
  <c r="V576" i="34"/>
  <c r="V579" i="34"/>
  <c r="V585" i="34"/>
  <c r="V593" i="34"/>
  <c r="V597" i="34"/>
  <c r="V601" i="34"/>
  <c r="V608" i="34"/>
  <c r="V611" i="34"/>
  <c r="V615" i="34"/>
  <c r="V628" i="34"/>
  <c r="V632" i="34"/>
  <c r="V635" i="34"/>
  <c r="V371" i="34"/>
  <c r="V377" i="34"/>
  <c r="V383" i="34"/>
  <c r="V387" i="34"/>
  <c r="V391" i="34"/>
  <c r="V395" i="34"/>
  <c r="V399" i="34"/>
  <c r="V402" i="34"/>
  <c r="V406" i="34"/>
  <c r="V410" i="34"/>
  <c r="V414" i="34"/>
  <c r="V422" i="34"/>
  <c r="V426" i="34"/>
  <c r="V430" i="34"/>
  <c r="V434" i="34"/>
  <c r="V438" i="34"/>
  <c r="V440" i="34"/>
  <c r="V444" i="34"/>
  <c r="V448" i="34"/>
  <c r="V452" i="34"/>
  <c r="V456" i="34"/>
  <c r="V459" i="34"/>
  <c r="V461" i="34"/>
  <c r="V463" i="34"/>
  <c r="V465" i="34"/>
  <c r="V469" i="34"/>
  <c r="V473" i="34"/>
  <c r="V477" i="34"/>
  <c r="V481" i="34"/>
  <c r="V485" i="34"/>
  <c r="V489" i="34"/>
  <c r="V493" i="34"/>
  <c r="V497" i="34"/>
  <c r="V500" i="34"/>
  <c r="V502" i="34"/>
  <c r="V504" i="34"/>
  <c r="V508" i="34"/>
  <c r="V512" i="34"/>
  <c r="V516" i="34"/>
  <c r="V520" i="34"/>
  <c r="V524" i="34"/>
  <c r="V528" i="34"/>
  <c r="V534" i="34"/>
  <c r="V537" i="34"/>
  <c r="V540" i="34"/>
  <c r="V542" i="34"/>
  <c r="V545" i="34"/>
  <c r="V549" i="34"/>
  <c r="V551" i="34"/>
  <c r="V555" i="34"/>
  <c r="V558" i="34"/>
  <c r="V565" i="34"/>
  <c r="V569" i="34"/>
  <c r="V573" i="34"/>
  <c r="V580" i="34"/>
  <c r="V582" i="34"/>
  <c r="V586" i="34"/>
  <c r="V589" i="34"/>
  <c r="V591" i="34"/>
  <c r="V594" i="34"/>
  <c r="V598" i="34"/>
  <c r="V602" i="34"/>
  <c r="V605" i="34"/>
  <c r="V612" i="34"/>
  <c r="V616" i="34"/>
  <c r="V619" i="34"/>
  <c r="V621" i="34"/>
  <c r="V623" i="34"/>
  <c r="V625" i="34"/>
  <c r="V629" i="34"/>
  <c r="V636" i="34"/>
  <c r="V639" i="34"/>
  <c r="V641" i="34"/>
  <c r="V643" i="34"/>
  <c r="V645" i="34"/>
  <c r="V649" i="34"/>
  <c r="V659" i="34"/>
  <c r="V663" i="34"/>
  <c r="V666" i="34"/>
  <c r="V670" i="34"/>
  <c r="V678" i="34"/>
  <c r="V681" i="34"/>
  <c r="V685" i="34"/>
  <c r="V688" i="34"/>
  <c r="V692" i="34"/>
  <c r="V364" i="34"/>
  <c r="V372" i="34"/>
  <c r="V379" i="34"/>
  <c r="V384" i="34"/>
  <c r="V388" i="34"/>
  <c r="V392" i="34"/>
  <c r="V396" i="34"/>
  <c r="V400" i="34"/>
  <c r="V403" i="34"/>
  <c r="V407" i="34"/>
  <c r="V411" i="34"/>
  <c r="V415" i="34"/>
  <c r="V417" i="34"/>
  <c r="V419" i="34"/>
  <c r="V423" i="34"/>
  <c r="V427" i="34"/>
  <c r="V431" i="34"/>
  <c r="V435" i="34"/>
  <c r="V441" i="34"/>
  <c r="V445" i="34"/>
  <c r="V449" i="34"/>
  <c r="V453" i="34"/>
  <c r="V457" i="34"/>
  <c r="V466" i="34"/>
  <c r="V470" i="34"/>
  <c r="V474" i="34"/>
  <c r="V478" i="34"/>
  <c r="V482" i="34"/>
  <c r="V486" i="34"/>
  <c r="V490" i="34"/>
  <c r="V494" i="34"/>
  <c r="V498" i="34"/>
  <c r="V505" i="34"/>
  <c r="V509" i="34"/>
  <c r="V513" i="34"/>
  <c r="V517" i="34"/>
  <c r="V521" i="34"/>
  <c r="V525" i="34"/>
  <c r="V529" i="34"/>
  <c r="V531" i="34"/>
  <c r="V535" i="34"/>
  <c r="V538" i="34"/>
  <c r="V546" i="34"/>
  <c r="V552" i="34"/>
  <c r="V559" i="34"/>
  <c r="V562" i="34"/>
  <c r="V566" i="34"/>
  <c r="V570" i="34"/>
  <c r="V574" i="34"/>
  <c r="V577" i="34"/>
  <c r="V583" i="34"/>
  <c r="V587" i="34"/>
  <c r="V595" i="34"/>
  <c r="V599" i="34"/>
  <c r="V603" i="34"/>
  <c r="V606" i="34"/>
  <c r="V609" i="34"/>
  <c r="V613" i="34"/>
  <c r="V617" i="34"/>
  <c r="V626" i="34"/>
  <c r="V630" i="34"/>
  <c r="V633" i="34"/>
  <c r="V637" i="34"/>
  <c r="V646" i="34"/>
  <c r="V650" i="34"/>
  <c r="V652" i="34"/>
  <c r="V654" i="34"/>
  <c r="V656" i="34"/>
  <c r="V660" i="34"/>
  <c r="V667" i="34"/>
  <c r="V671" i="34"/>
  <c r="V673" i="34"/>
  <c r="V675" i="34"/>
  <c r="V679" i="34"/>
  <c r="V682" i="34"/>
  <c r="V689" i="34"/>
  <c r="V662" i="34"/>
  <c r="V674" i="34"/>
  <c r="V680" i="34"/>
  <c r="V686" i="34"/>
  <c r="V698" i="34"/>
  <c r="V702" i="34"/>
  <c r="V708" i="34"/>
  <c r="V713" i="34"/>
  <c r="V717" i="34"/>
  <c r="V721" i="34"/>
  <c r="V723" i="34"/>
  <c r="V726" i="34"/>
  <c r="V729" i="34"/>
  <c r="V733" i="34"/>
  <c r="V737" i="34"/>
  <c r="V740" i="34"/>
  <c r="V744" i="34"/>
  <c r="V747" i="34"/>
  <c r="V749" i="34"/>
  <c r="V752" i="34"/>
  <c r="V756" i="34"/>
  <c r="V759" i="34"/>
  <c r="V763" i="34"/>
  <c r="V766" i="34"/>
  <c r="V769" i="34"/>
  <c r="V773" i="34"/>
  <c r="V777" i="34"/>
  <c r="V784" i="34"/>
  <c r="V788" i="34"/>
  <c r="V795" i="34"/>
  <c r="V799" i="34"/>
  <c r="V812" i="34"/>
  <c r="V837" i="34"/>
  <c r="V848" i="34"/>
  <c r="V852" i="34"/>
  <c r="V854" i="34"/>
  <c r="V856" i="34"/>
  <c r="V858" i="34"/>
  <c r="V861" i="34"/>
  <c r="V865" i="34"/>
  <c r="V887" i="34"/>
  <c r="V901" i="34"/>
  <c r="V911" i="34"/>
  <c r="V915" i="34"/>
  <c r="V919" i="34"/>
  <c r="V927" i="34"/>
  <c r="V930" i="34"/>
  <c r="V939" i="34"/>
  <c r="V648" i="34"/>
  <c r="V655" i="34"/>
  <c r="V672" i="34"/>
  <c r="V683" i="34"/>
  <c r="V687" i="34"/>
  <c r="V693" i="34"/>
  <c r="V695" i="34"/>
  <c r="V699" i="34"/>
  <c r="V703" i="34"/>
  <c r="V706" i="34"/>
  <c r="V709" i="34"/>
  <c r="V711" i="34"/>
  <c r="V714" i="34"/>
  <c r="V718" i="34"/>
  <c r="V727" i="34"/>
  <c r="V730" i="34"/>
  <c r="V734" i="34"/>
  <c r="V738" i="34"/>
  <c r="V741" i="34"/>
  <c r="V753" i="34"/>
  <c r="V757" i="34"/>
  <c r="V760" i="34"/>
  <c r="V764" i="34"/>
  <c r="V770" i="34"/>
  <c r="V774" i="34"/>
  <c r="V778" i="34"/>
  <c r="V780" i="34"/>
  <c r="V782" i="34"/>
  <c r="V785" i="34"/>
  <c r="V789" i="34"/>
  <c r="V792" i="34"/>
  <c r="V796" i="34"/>
  <c r="V800" i="34"/>
  <c r="V803" i="34"/>
  <c r="V805" i="34"/>
  <c r="V807" i="34"/>
  <c r="V809" i="34"/>
  <c r="V813" i="34"/>
  <c r="V815" i="34"/>
  <c r="V817" i="34"/>
  <c r="V819" i="34"/>
  <c r="V821" i="34"/>
  <c r="V823" i="34"/>
  <c r="V826" i="34"/>
  <c r="V829" i="34"/>
  <c r="V831" i="34"/>
  <c r="V833" i="34"/>
  <c r="V835" i="34"/>
  <c r="V838" i="34"/>
  <c r="V840" i="34"/>
  <c r="V842" i="34"/>
  <c r="V844" i="34"/>
  <c r="V846" i="34"/>
  <c r="V849" i="34"/>
  <c r="V862" i="34"/>
  <c r="V866" i="34"/>
  <c r="V869" i="34"/>
  <c r="V871" i="34"/>
  <c r="V873" i="34"/>
  <c r="V876" i="34"/>
  <c r="V879" i="34"/>
  <c r="V881" i="34"/>
  <c r="V883" i="34"/>
  <c r="V885" i="34"/>
  <c r="V888" i="34"/>
  <c r="V890" i="34"/>
  <c r="V892" i="34"/>
  <c r="V894" i="34"/>
  <c r="V896" i="34"/>
  <c r="V898" i="34"/>
  <c r="V902" i="34"/>
  <c r="V904" i="34"/>
  <c r="V906" i="34"/>
  <c r="V909" i="34"/>
  <c r="V912" i="34"/>
  <c r="V916" i="34"/>
  <c r="V920" i="34"/>
  <c r="V923" i="34"/>
  <c r="V925" i="34"/>
  <c r="V928" i="34"/>
  <c r="V931" i="34"/>
  <c r="V933" i="34"/>
  <c r="V935" i="34"/>
  <c r="V937" i="34"/>
  <c r="V940" i="34"/>
  <c r="V653" i="34"/>
  <c r="V665" i="34"/>
  <c r="V677" i="34"/>
  <c r="V684" i="34"/>
  <c r="V690" i="34"/>
  <c r="V696" i="34"/>
  <c r="V700" i="34"/>
  <c r="V704" i="34"/>
  <c r="V715" i="34"/>
  <c r="V719" i="34"/>
  <c r="V722" i="34"/>
  <c r="V724" i="34"/>
  <c r="V728" i="34"/>
  <c r="V731" i="34"/>
  <c r="V735" i="34"/>
  <c r="V739" i="34"/>
  <c r="V742" i="34"/>
  <c r="V745" i="34"/>
  <c r="V748" i="34"/>
  <c r="V750" i="34"/>
  <c r="V754" i="34"/>
  <c r="V758" i="34"/>
  <c r="V761" i="34"/>
  <c r="V765" i="34"/>
  <c r="V767" i="34"/>
  <c r="V771" i="34"/>
  <c r="V775" i="34"/>
  <c r="V786" i="34"/>
  <c r="V790" i="34"/>
  <c r="V793" i="34"/>
  <c r="V797" i="34"/>
  <c r="V801" i="34"/>
  <c r="V810" i="34"/>
  <c r="V824" i="34"/>
  <c r="V827" i="34"/>
  <c r="V850" i="34"/>
  <c r="V853" i="34"/>
  <c r="V855" i="34"/>
  <c r="V857" i="34"/>
  <c r="V859" i="34"/>
  <c r="V863" i="34"/>
  <c r="V867" i="34"/>
  <c r="V874" i="34"/>
  <c r="V877" i="34"/>
  <c r="V899" i="34"/>
  <c r="V907" i="34"/>
  <c r="V913" i="34"/>
  <c r="V917" i="34"/>
  <c r="V921" i="34"/>
  <c r="V941" i="34"/>
  <c r="V651" i="34"/>
  <c r="V658" i="34"/>
  <c r="V669" i="34"/>
  <c r="V691" i="34"/>
  <c r="V694" i="34"/>
  <c r="V697" i="34"/>
  <c r="V701" i="34"/>
  <c r="V705" i="34"/>
  <c r="V707" i="34"/>
  <c r="V710" i="34"/>
  <c r="V712" i="34"/>
  <c r="V716" i="34"/>
  <c r="V720" i="34"/>
  <c r="V725" i="34"/>
  <c r="V732" i="34"/>
  <c r="V736" i="34"/>
  <c r="V743" i="34"/>
  <c r="V746" i="34"/>
  <c r="V751" i="34"/>
  <c r="V755" i="34"/>
  <c r="V762" i="34"/>
  <c r="V768" i="34"/>
  <c r="V772" i="34"/>
  <c r="V776" i="34"/>
  <c r="V779" i="34"/>
  <c r="V781" i="34"/>
  <c r="V783" i="34"/>
  <c r="V787" i="34"/>
  <c r="V791" i="34"/>
  <c r="V794" i="34"/>
  <c r="V798" i="34"/>
  <c r="V802" i="34"/>
  <c r="V804" i="34"/>
  <c r="V806" i="34"/>
  <c r="V808" i="34"/>
  <c r="V811" i="34"/>
  <c r="V814" i="34"/>
  <c r="V816" i="34"/>
  <c r="V818" i="34"/>
  <c r="V820" i="34"/>
  <c r="V822" i="34"/>
  <c r="V825" i="34"/>
  <c r="V828" i="34"/>
  <c r="V830" i="34"/>
  <c r="V832" i="34"/>
  <c r="V834" i="34"/>
  <c r="V836" i="34"/>
  <c r="V839" i="34"/>
  <c r="V841" i="34"/>
  <c r="V843" i="34"/>
  <c r="V845" i="34"/>
  <c r="V847" i="34"/>
  <c r="V851" i="34"/>
  <c r="V860" i="34"/>
  <c r="V864" i="34"/>
  <c r="V868" i="34"/>
  <c r="V870" i="34"/>
  <c r="V872" i="34"/>
  <c r="V875" i="34"/>
  <c r="V878" i="34"/>
  <c r="V880" i="34"/>
  <c r="V882" i="34"/>
  <c r="V884" i="34"/>
  <c r="V886" i="34"/>
  <c r="V889" i="34"/>
  <c r="V891" i="34"/>
  <c r="V893" i="34"/>
  <c r="V895" i="34"/>
  <c r="V897" i="34"/>
  <c r="V900" i="34"/>
  <c r="V903" i="34"/>
  <c r="V905" i="34"/>
  <c r="V908" i="34"/>
  <c r="V910" i="34"/>
  <c r="V914" i="34"/>
  <c r="V918" i="34"/>
  <c r="V922" i="34"/>
  <c r="V924" i="34"/>
  <c r="V926" i="34"/>
  <c r="V929" i="34"/>
  <c r="V932" i="34"/>
  <c r="V934" i="34"/>
  <c r="V936" i="34"/>
  <c r="V938" i="34"/>
  <c r="V942" i="34"/>
  <c r="V949" i="34"/>
  <c r="V953" i="34"/>
  <c r="V957" i="34"/>
  <c r="V961" i="34"/>
  <c r="V965" i="34"/>
  <c r="V969" i="34"/>
  <c r="V973" i="34"/>
  <c r="V977" i="34"/>
  <c r="V981" i="34"/>
  <c r="V985" i="34"/>
  <c r="V989" i="34"/>
  <c r="V993" i="34"/>
  <c r="V997" i="34"/>
  <c r="V1001" i="34"/>
  <c r="V1005" i="34"/>
  <c r="V1009" i="34"/>
  <c r="V1013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7" i="34"/>
  <c r="V1241" i="34"/>
  <c r="V1245" i="34"/>
  <c r="V1249" i="34"/>
  <c r="V1253" i="34"/>
  <c r="V1257" i="34"/>
  <c r="V1261" i="34"/>
  <c r="V1265" i="34"/>
  <c r="V943" i="34"/>
  <c r="V946" i="34"/>
  <c r="V950" i="34"/>
  <c r="V954" i="34"/>
  <c r="V958" i="34"/>
  <c r="V962" i="34"/>
  <c r="V966" i="34"/>
  <c r="V970" i="34"/>
  <c r="V974" i="34"/>
  <c r="V978" i="34"/>
  <c r="V982" i="34"/>
  <c r="V986" i="34"/>
  <c r="V990" i="34"/>
  <c r="V994" i="34"/>
  <c r="V998" i="34"/>
  <c r="V1002" i="34"/>
  <c r="V1006" i="34"/>
  <c r="V1010" i="34"/>
  <c r="V1014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8" i="34"/>
  <c r="V1242" i="34"/>
  <c r="V1246" i="34"/>
  <c r="V1250" i="34"/>
  <c r="V1254" i="34"/>
  <c r="V1258" i="34"/>
  <c r="V1262" i="34"/>
  <c r="V944" i="34"/>
  <c r="V947" i="34"/>
  <c r="V951" i="34"/>
  <c r="V955" i="34"/>
  <c r="V959" i="34"/>
  <c r="V963" i="34"/>
  <c r="V967" i="34"/>
  <c r="V971" i="34"/>
  <c r="V975" i="34"/>
  <c r="V979" i="34"/>
  <c r="V983" i="34"/>
  <c r="V987" i="34"/>
  <c r="V991" i="34"/>
  <c r="V995" i="34"/>
  <c r="V999" i="34"/>
  <c r="V1003" i="34"/>
  <c r="V1007" i="34"/>
  <c r="V1011" i="34"/>
  <c r="V1015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1251" i="34"/>
  <c r="V1255" i="34"/>
  <c r="V1259" i="34"/>
  <c r="V1263" i="34"/>
  <c r="V1267" i="34"/>
  <c r="V1271" i="34"/>
  <c r="V1275" i="34"/>
  <c r="V1279" i="34"/>
  <c r="V945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52" i="34"/>
  <c r="V1256" i="34"/>
  <c r="V1260" i="34"/>
  <c r="V1264" i="34"/>
  <c r="V1268" i="34"/>
  <c r="V1272" i="34"/>
  <c r="V1276" i="34"/>
  <c r="V1280" i="34"/>
  <c r="V1273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353" i="34"/>
  <c r="V1357" i="34"/>
  <c r="V1361" i="34"/>
  <c r="V1365" i="34"/>
  <c r="V1369" i="34"/>
  <c r="V1373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61" i="34"/>
  <c r="V1465" i="34"/>
  <c r="V1469" i="34"/>
  <c r="V1473" i="34"/>
  <c r="V1477" i="34"/>
  <c r="V1481" i="34"/>
  <c r="V1485" i="34"/>
  <c r="V1489" i="34"/>
  <c r="V1493" i="34"/>
  <c r="V1497" i="34"/>
  <c r="V1501" i="34"/>
  <c r="V1505" i="34"/>
  <c r="V1509" i="34"/>
  <c r="V1513" i="34"/>
  <c r="V1517" i="34"/>
  <c r="V1521" i="34"/>
  <c r="V1525" i="34"/>
  <c r="V1529" i="34"/>
  <c r="V1533" i="34"/>
  <c r="V1537" i="34"/>
  <c r="V1541" i="34"/>
  <c r="V1545" i="34"/>
  <c r="V1549" i="34"/>
  <c r="V1553" i="34"/>
  <c r="V1557" i="34"/>
  <c r="V1561" i="34"/>
  <c r="V1565" i="34"/>
  <c r="V1569" i="34"/>
  <c r="V1573" i="34"/>
  <c r="V1577" i="34"/>
  <c r="V1581" i="34"/>
  <c r="V1585" i="34"/>
  <c r="V1589" i="34"/>
  <c r="V1593" i="34"/>
  <c r="V1597" i="34"/>
  <c r="V1601" i="34"/>
  <c r="V1605" i="34"/>
  <c r="V1609" i="34"/>
  <c r="V1613" i="34"/>
  <c r="V1617" i="34"/>
  <c r="V1621" i="34"/>
  <c r="V1625" i="34"/>
  <c r="V1629" i="34"/>
  <c r="V1633" i="34"/>
  <c r="V1637" i="34"/>
  <c r="V1266" i="34"/>
  <c r="V1274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358" i="34"/>
  <c r="V1362" i="34"/>
  <c r="V1366" i="34"/>
  <c r="V1370" i="34"/>
  <c r="V1374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462" i="34"/>
  <c r="V1466" i="34"/>
  <c r="V1470" i="34"/>
  <c r="V1474" i="34"/>
  <c r="V1478" i="34"/>
  <c r="V1482" i="34"/>
  <c r="V1486" i="34"/>
  <c r="V1490" i="34"/>
  <c r="V1494" i="34"/>
  <c r="V1498" i="34"/>
  <c r="V1502" i="34"/>
  <c r="V1506" i="34"/>
  <c r="V1510" i="34"/>
  <c r="V1514" i="34"/>
  <c r="V1518" i="34"/>
  <c r="V1522" i="34"/>
  <c r="V1526" i="34"/>
  <c r="V1530" i="34"/>
  <c r="V1534" i="34"/>
  <c r="V1538" i="34"/>
  <c r="V1542" i="34"/>
  <c r="V1546" i="34"/>
  <c r="V1550" i="34"/>
  <c r="V1554" i="34"/>
  <c r="V1558" i="34"/>
  <c r="V1562" i="34"/>
  <c r="V1566" i="34"/>
  <c r="V1570" i="34"/>
  <c r="V1574" i="34"/>
  <c r="V1578" i="34"/>
  <c r="V1582" i="34"/>
  <c r="V1586" i="34"/>
  <c r="V1590" i="34"/>
  <c r="V1594" i="34"/>
  <c r="V1598" i="34"/>
  <c r="V1602" i="34"/>
  <c r="V1606" i="34"/>
  <c r="V1610" i="34"/>
  <c r="V1614" i="34"/>
  <c r="V1618" i="34"/>
  <c r="V1622" i="34"/>
  <c r="V1626" i="34"/>
  <c r="V1630" i="34"/>
  <c r="V1634" i="34"/>
  <c r="V1638" i="34"/>
  <c r="V1269" i="34"/>
  <c r="V1277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347" i="34"/>
  <c r="V1351" i="34"/>
  <c r="V1355" i="34"/>
  <c r="V1359" i="34"/>
  <c r="V1363" i="34"/>
  <c r="V1367" i="34"/>
  <c r="V1371" i="34"/>
  <c r="V1375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451" i="34"/>
  <c r="V1455" i="34"/>
  <c r="V1459" i="34"/>
  <c r="V1463" i="34"/>
  <c r="V1467" i="34"/>
  <c r="V1471" i="34"/>
  <c r="V1475" i="34"/>
  <c r="V1479" i="34"/>
  <c r="V1483" i="34"/>
  <c r="V1487" i="34"/>
  <c r="V1491" i="34"/>
  <c r="V1495" i="34"/>
  <c r="V1499" i="34"/>
  <c r="V1503" i="34"/>
  <c r="V1507" i="34"/>
  <c r="V1511" i="34"/>
  <c r="V1515" i="34"/>
  <c r="V1519" i="34"/>
  <c r="V1523" i="34"/>
  <c r="V1527" i="34"/>
  <c r="V1531" i="34"/>
  <c r="V1535" i="34"/>
  <c r="V1539" i="34"/>
  <c r="V1543" i="34"/>
  <c r="V1547" i="34"/>
  <c r="V1551" i="34"/>
  <c r="V1555" i="34"/>
  <c r="V1559" i="34"/>
  <c r="V1563" i="34"/>
  <c r="V1567" i="34"/>
  <c r="V1571" i="34"/>
  <c r="V1575" i="34"/>
  <c r="V1579" i="34"/>
  <c r="V1583" i="34"/>
  <c r="V1587" i="34"/>
  <c r="V1591" i="34"/>
  <c r="V1595" i="34"/>
  <c r="V1599" i="34"/>
  <c r="V1603" i="34"/>
  <c r="V1607" i="34"/>
  <c r="V1611" i="34"/>
  <c r="V1615" i="34"/>
  <c r="V1619" i="34"/>
  <c r="V1623" i="34"/>
  <c r="V1627" i="34"/>
  <c r="V1631" i="34"/>
  <c r="V1635" i="34"/>
  <c r="V1639" i="34"/>
  <c r="V1270" i="34"/>
  <c r="V1278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356" i="34"/>
  <c r="V1360" i="34"/>
  <c r="V1364" i="34"/>
  <c r="V1368" i="34"/>
  <c r="V1372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448" i="34"/>
  <c r="V1452" i="34"/>
  <c r="V1456" i="34"/>
  <c r="V1460" i="34"/>
  <c r="V1464" i="34"/>
  <c r="V1468" i="34"/>
  <c r="V1472" i="34"/>
  <c r="V1476" i="34"/>
  <c r="V1480" i="34"/>
  <c r="V1484" i="34"/>
  <c r="V1488" i="34"/>
  <c r="V1492" i="34"/>
  <c r="V1496" i="34"/>
  <c r="V1500" i="34"/>
  <c r="V1504" i="34"/>
  <c r="V1508" i="34"/>
  <c r="V1512" i="34"/>
  <c r="V1516" i="34"/>
  <c r="V1520" i="34"/>
  <c r="V1524" i="34"/>
  <c r="V1528" i="34"/>
  <c r="V1532" i="34"/>
  <c r="V1536" i="34"/>
  <c r="V1540" i="34"/>
  <c r="V1544" i="34"/>
  <c r="V1548" i="34"/>
  <c r="V1552" i="34"/>
  <c r="V1556" i="34"/>
  <c r="V1560" i="34"/>
  <c r="V1564" i="34"/>
  <c r="V1568" i="34"/>
  <c r="V1572" i="34"/>
  <c r="V1576" i="34"/>
  <c r="V1580" i="34"/>
  <c r="V1584" i="34"/>
  <c r="V1588" i="34"/>
  <c r="V1592" i="34"/>
  <c r="V1596" i="34"/>
  <c r="V1600" i="34"/>
  <c r="V1604" i="34"/>
  <c r="V1608" i="34"/>
  <c r="V1612" i="34"/>
  <c r="V1616" i="34"/>
  <c r="V1620" i="34"/>
  <c r="V1624" i="34"/>
  <c r="V1628" i="34"/>
  <c r="V1632" i="34"/>
  <c r="V1636" i="34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X12" i="34"/>
  <c r="X16" i="34"/>
  <c r="X20" i="34"/>
  <c r="X13" i="34"/>
  <c r="X17" i="34"/>
  <c r="X21" i="34"/>
  <c r="X14" i="34"/>
  <c r="X18" i="34"/>
  <c r="X22" i="34"/>
  <c r="X11" i="34"/>
  <c r="X15" i="34"/>
  <c r="X19" i="34"/>
  <c r="X10" i="34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12" i="34"/>
  <c r="V14" i="34"/>
  <c r="V16" i="34"/>
  <c r="V18" i="34"/>
  <c r="V20" i="34"/>
  <c r="V22" i="34"/>
  <c r="I349" i="55"/>
  <c r="A11" i="56"/>
  <c r="A10" i="56"/>
  <c r="Q10" i="34"/>
  <c r="A10" i="34"/>
  <c r="A12" i="34"/>
  <c r="A13" i="34"/>
  <c r="A11" i="34"/>
  <c r="A14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F15" i="56"/>
  <c r="H33" i="56"/>
  <c r="K14" i="34"/>
  <c r="K12" i="34"/>
  <c r="K15" i="34"/>
  <c r="K13" i="34"/>
  <c r="A12" i="55"/>
  <c r="A352" i="55"/>
  <c r="B353" i="55"/>
  <c r="A351" i="55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K1650" i="34" l="1"/>
  <c r="F28" i="70" s="1" a="1"/>
  <c r="F28" i="70" s="1"/>
  <c r="G17" i="56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J214" i="55" a="1"/>
  <c r="J214" i="55" s="1"/>
  <c r="F19" i="56"/>
  <c r="H19" i="56" s="1"/>
  <c r="F17" i="56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B354" i="55"/>
  <c r="A353" i="55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E41" i="70" l="1" a="1"/>
  <c r="E41" i="70" s="1"/>
  <c r="F19" i="15" a="1"/>
  <c r="F19" i="15" s="1"/>
  <c r="E19" i="15" a="1"/>
  <c r="E19" i="15" s="1"/>
  <c r="G19" i="15" s="1"/>
  <c r="H17" i="56"/>
  <c r="E48" i="70" a="1"/>
  <c r="E48" i="70" s="1"/>
  <c r="F49" i="70" a="1"/>
  <c r="F49" i="70" s="1"/>
  <c r="E49" i="70" a="1"/>
  <c r="E49" i="70" s="1"/>
  <c r="F48" i="70" a="1"/>
  <c r="F48" i="70" s="1"/>
  <c r="E46" i="70" a="1"/>
  <c r="E46" i="70" s="1"/>
  <c r="F42" i="70" a="1"/>
  <c r="F42" i="70" s="1"/>
  <c r="E37" i="70" a="1"/>
  <c r="E37" i="70" s="1"/>
  <c r="F39" i="70" a="1"/>
  <c r="F39" i="70" s="1"/>
  <c r="F38" i="70" a="1"/>
  <c r="F38" i="70" s="1"/>
  <c r="E38" i="70" a="1"/>
  <c r="E38" i="70" s="1"/>
  <c r="E44" i="70" a="1"/>
  <c r="E44" i="70" s="1"/>
  <c r="F40" i="70" a="1"/>
  <c r="F40" i="70" s="1"/>
  <c r="E45" i="70" a="1"/>
  <c r="E45" i="70" s="1"/>
  <c r="E40" i="70" a="1"/>
  <c r="E40" i="70" s="1"/>
  <c r="F43" i="70" a="1"/>
  <c r="F43" i="70" s="1"/>
  <c r="E47" i="70" a="1"/>
  <c r="E47" i="70" s="1"/>
  <c r="E42" i="70" a="1"/>
  <c r="E42" i="70" s="1"/>
  <c r="E43" i="70" a="1"/>
  <c r="E43" i="70" s="1"/>
  <c r="F45" i="70" a="1"/>
  <c r="F45" i="70" s="1"/>
  <c r="F44" i="70" a="1"/>
  <c r="F44" i="70" s="1"/>
  <c r="E39" i="70" a="1"/>
  <c r="E39" i="70" s="1"/>
  <c r="F41" i="70" a="1"/>
  <c r="F41" i="70" s="1"/>
  <c r="H41" i="70" s="1"/>
  <c r="F47" i="70" a="1"/>
  <c r="F47" i="70" s="1"/>
  <c r="F46" i="70" a="1"/>
  <c r="F46" i="70" s="1"/>
  <c r="H46" i="70" s="1"/>
  <c r="F37" i="70" a="1"/>
  <c r="F37" i="70" s="1"/>
  <c r="E36" i="70" a="1"/>
  <c r="E36" i="70" s="1"/>
  <c r="E28" i="70" a="1"/>
  <c r="E28" i="70" s="1"/>
  <c r="H28" i="70" s="1"/>
  <c r="F29" i="70" a="1"/>
  <c r="F29" i="70" s="1"/>
  <c r="F34" i="70" a="1"/>
  <c r="F34" i="70" s="1"/>
  <c r="F35" i="70" a="1"/>
  <c r="F35" i="70" s="1"/>
  <c r="F32" i="70" a="1"/>
  <c r="F32" i="70" s="1"/>
  <c r="E27" i="70" a="1"/>
  <c r="E27" i="70" s="1"/>
  <c r="F31" i="70" a="1"/>
  <c r="F31" i="70" s="1"/>
  <c r="E34" i="70" a="1"/>
  <c r="E34" i="70" s="1"/>
  <c r="F30" i="70" a="1"/>
  <c r="F30" i="70" s="1"/>
  <c r="E33" i="70" a="1"/>
  <c r="E33" i="70" s="1"/>
  <c r="F27" i="70" a="1"/>
  <c r="F27" i="70" s="1"/>
  <c r="F33" i="70" a="1"/>
  <c r="F33" i="70" s="1"/>
  <c r="E32" i="70" a="1"/>
  <c r="E32" i="70" s="1"/>
  <c r="G32" i="70" s="1"/>
  <c r="F36" i="70" a="1"/>
  <c r="F36" i="70" s="1"/>
  <c r="E31" i="70" a="1"/>
  <c r="E31" i="70" s="1"/>
  <c r="G31" i="70" s="1"/>
  <c r="E29" i="70" a="1"/>
  <c r="E29" i="70" s="1"/>
  <c r="E35" i="70" a="1"/>
  <c r="E35" i="70" s="1"/>
  <c r="E30" i="70" a="1"/>
  <c r="E30" i="7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H131" i="55" a="1"/>
  <c r="H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H195" i="55" a="1"/>
  <c r="H195" i="55" s="1"/>
  <c r="L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L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33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355" i="55"/>
  <c r="A354" i="55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H26" i="57"/>
  <c r="A29" i="56"/>
  <c r="G29" i="70" l="1"/>
  <c r="G39" i="70"/>
  <c r="H19" i="15"/>
  <c r="G34" i="70"/>
  <c r="G42" i="70"/>
  <c r="G35" i="70"/>
  <c r="G49" i="70"/>
  <c r="G48" i="70"/>
  <c r="L56" i="55"/>
  <c r="L235" i="55"/>
  <c r="L151" i="55"/>
  <c r="L223" i="55"/>
  <c r="L67" i="55"/>
  <c r="L211" i="55"/>
  <c r="L295" i="55"/>
  <c r="H37" i="70"/>
  <c r="G30" i="70"/>
  <c r="H48" i="70"/>
  <c r="G38" i="70"/>
  <c r="H49" i="70"/>
  <c r="H47" i="70"/>
  <c r="H45" i="70"/>
  <c r="H44" i="70"/>
  <c r="G40" i="70"/>
  <c r="G28" i="70"/>
  <c r="G43" i="70"/>
  <c r="L166" i="55"/>
  <c r="H43" i="70"/>
  <c r="H40" i="70"/>
  <c r="H39" i="70"/>
  <c r="G41" i="70"/>
  <c r="G44" i="70"/>
  <c r="G37" i="70"/>
  <c r="H42" i="70"/>
  <c r="L158" i="55"/>
  <c r="G47" i="70"/>
  <c r="G45" i="70"/>
  <c r="H38" i="70"/>
  <c r="G46" i="70"/>
  <c r="H36" i="70"/>
  <c r="L24" i="55"/>
  <c r="L148" i="55"/>
  <c r="L101" i="55"/>
  <c r="H33" i="70"/>
  <c r="H27" i="70"/>
  <c r="G27" i="70"/>
  <c r="H29" i="70"/>
  <c r="H35" i="70"/>
  <c r="H32" i="70"/>
  <c r="L231" i="55"/>
  <c r="G33" i="70"/>
  <c r="H34" i="70"/>
  <c r="L330" i="55"/>
  <c r="H30" i="70"/>
  <c r="H31" i="70"/>
  <c r="G36" i="70"/>
  <c r="H27" i="56"/>
  <c r="L45" i="55"/>
  <c r="L341" i="55"/>
  <c r="L185" i="55"/>
  <c r="L127" i="55"/>
  <c r="L161" i="55"/>
  <c r="L228" i="55"/>
  <c r="L131" i="55"/>
  <c r="G26" i="70"/>
  <c r="L232" i="55"/>
  <c r="L236" i="55"/>
  <c r="L79" i="55"/>
  <c r="L27" i="55"/>
  <c r="L38" i="55"/>
  <c r="L132" i="55"/>
  <c r="L76" i="55"/>
  <c r="L209" i="55"/>
  <c r="L65" i="55"/>
  <c r="L149" i="55"/>
  <c r="L44" i="55"/>
  <c r="L226" i="55"/>
  <c r="H26" i="70"/>
  <c r="G36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6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J16" i="14"/>
  <c r="G95" i="43"/>
  <c r="B356" i="55"/>
  <c r="A355" i="55"/>
  <c r="I16" i="14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J17" i="71" l="1"/>
  <c r="I17" i="71"/>
  <c r="I17" i="14"/>
  <c r="J17" i="14"/>
  <c r="B357" i="55"/>
  <c r="A356" i="55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7" i="15" a="1"/>
  <c r="F67" i="15" s="1"/>
  <c r="F55" i="15" a="1"/>
  <c r="F55" i="15" s="1"/>
  <c r="E55" i="15" a="1"/>
  <c r="E55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240" i="55" a="1"/>
  <c r="H2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355" i="55" a="1"/>
  <c r="H355" i="55" s="1"/>
  <c r="E14" i="15" a="1"/>
  <c r="E14" i="15" s="1"/>
  <c r="E53" i="70" s="1"/>
  <c r="E60" i="15" a="1"/>
  <c r="E60" i="15" s="1"/>
  <c r="H358" i="55" a="1"/>
  <c r="H358" i="55" s="1"/>
  <c r="E44" i="15" a="1"/>
  <c r="E44" i="15" s="1"/>
  <c r="H354" i="55" a="1"/>
  <c r="H354" i="55" s="1"/>
  <c r="H9" i="45" a="1"/>
  <c r="H9" i="45" s="1"/>
  <c r="E27" i="15" a="1"/>
  <c r="E27" i="15" s="1"/>
  <c r="F33" i="15" a="1"/>
  <c r="F33" i="15" s="1"/>
  <c r="E67" i="15" a="1"/>
  <c r="E67" i="15" s="1"/>
  <c r="I67" i="15" s="1"/>
  <c r="G5" i="45" a="1"/>
  <c r="G5" i="45" s="1"/>
  <c r="F46" i="15" a="1"/>
  <c r="F46" i="15" s="1"/>
  <c r="E5" i="12" a="1"/>
  <c r="E5" i="12" s="1"/>
  <c r="J351" i="55" a="1"/>
  <c r="J351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2" i="15" a="1"/>
  <c r="E32" i="15" s="1"/>
  <c r="E65" i="15" a="1"/>
  <c r="E65" i="15" s="1"/>
  <c r="E33" i="15" a="1"/>
  <c r="E33" i="15" s="1"/>
  <c r="H12" i="45" a="1"/>
  <c r="H12" i="45" s="1"/>
  <c r="E12" i="15" a="1"/>
  <c r="E12" i="15" s="1"/>
  <c r="E13" i="15" s="1"/>
  <c r="F32" i="15" a="1"/>
  <c r="F32" i="15" s="1"/>
  <c r="E21" i="15" a="1"/>
  <c r="E21" i="15" s="1"/>
  <c r="H17" i="55" s="1"/>
  <c r="E11" i="15"/>
  <c r="H353" i="55" a="1"/>
  <c r="H353" i="55" s="1"/>
  <c r="E63" i="15" a="1"/>
  <c r="E63" i="15" s="1"/>
  <c r="H95" i="43"/>
  <c r="H9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61" i="55" s="1"/>
  <c r="F23" i="15" a="1"/>
  <c r="F23" i="15" s="1"/>
  <c r="G8" i="45" a="1"/>
  <c r="G8" i="45" s="1"/>
  <c r="F50" i="15" a="1"/>
  <c r="F50" i="15" s="1"/>
  <c r="J239" i="55" a="1"/>
  <c r="J239" i="55" s="1"/>
  <c r="E4" i="12" a="1"/>
  <c r="E4" i="12" s="1"/>
  <c r="F54" i="15" a="1"/>
  <c r="F54" i="15" s="1"/>
  <c r="E30" i="15" a="1"/>
  <c r="E30" i="15" s="1"/>
  <c r="E31" i="15" s="1"/>
  <c r="G12" i="45" a="1"/>
  <c r="G12" i="4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6" i="15" a="1"/>
  <c r="E26" i="15" s="1"/>
  <c r="F39" i="15" a="1"/>
  <c r="F39" i="15" s="1"/>
  <c r="F40" i="15" s="1"/>
  <c r="F5" i="12" a="1"/>
  <c r="F5" i="12" s="1"/>
  <c r="H356" i="55" a="1"/>
  <c r="H356" i="55" s="1"/>
  <c r="F26" i="15" a="1"/>
  <c r="F26" i="15" s="1"/>
  <c r="G10" i="45" a="1"/>
  <c r="G10" i="45" s="1"/>
  <c r="H357" i="55" a="1"/>
  <c r="H357" i="55" s="1"/>
  <c r="F30" i="15" a="1"/>
  <c r="F30" i="15" s="1"/>
  <c r="H239" i="55" a="1"/>
  <c r="H239" i="55" s="1"/>
  <c r="H13" i="45" a="1"/>
  <c r="H13" i="45" s="1"/>
  <c r="H258" i="55" a="1"/>
  <c r="H258" i="55" s="1"/>
  <c r="F52" i="15" a="1"/>
  <c r="F52" i="15" s="1"/>
  <c r="F53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351" i="55" a="1"/>
  <c r="H351" i="55" s="1"/>
  <c r="E24" i="15" a="1"/>
  <c r="E24" i="15" s="1"/>
  <c r="F45" i="15" a="1"/>
  <c r="F45" i="15" s="1"/>
  <c r="H352" i="55" a="1"/>
  <c r="H352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8" i="15" a="1"/>
  <c r="E28" i="15" s="1"/>
  <c r="H5" i="45" a="1"/>
  <c r="H5" i="45" s="1"/>
  <c r="F35" i="15" a="1"/>
  <c r="F35" i="15" s="1"/>
  <c r="F20" i="15" a="1"/>
  <c r="F20" i="15" s="1"/>
  <c r="F14" i="15" a="1"/>
  <c r="F14" i="15" s="1"/>
  <c r="F53" i="70" s="1"/>
  <c r="J353" i="55" a="1"/>
  <c r="J353" i="55" s="1"/>
  <c r="H11" i="45" a="1"/>
  <c r="H11" i="45" s="1"/>
  <c r="J12" i="55" a="1"/>
  <c r="J12" i="55" s="1"/>
  <c r="F64" i="15" a="1"/>
  <c r="F64" i="15" s="1"/>
  <c r="F37" i="15" a="1"/>
  <c r="F37" i="15" s="1"/>
  <c r="F41" i="15" s="1"/>
  <c r="E42" i="15" a="1"/>
  <c r="E42" i="15" s="1"/>
  <c r="E43" i="15" s="1"/>
  <c r="H4" i="45" a="1"/>
  <c r="H4" i="45" s="1"/>
  <c r="E52" i="15" a="1"/>
  <c r="E52" i="15" s="1"/>
  <c r="H234" i="55" a="1"/>
  <c r="H234" i="55" s="1"/>
  <c r="E45" i="15" a="1"/>
  <c r="E45" i="15" s="1"/>
  <c r="J357" i="55" a="1"/>
  <c r="J357" i="55" s="1"/>
  <c r="F61" i="15" a="1"/>
  <c r="F61" i="15" s="1"/>
  <c r="F25" i="15" a="1"/>
  <c r="F25" i="15" s="1"/>
  <c r="F59" i="15" a="1"/>
  <c r="F59" i="15" s="1"/>
  <c r="J355" i="55" a="1"/>
  <c r="J355" i="55" s="1"/>
  <c r="F12" i="15" a="1"/>
  <c r="F12" i="15" s="1"/>
  <c r="F13" i="15" s="1"/>
  <c r="J356" i="55" a="1"/>
  <c r="J356" i="55" s="1"/>
  <c r="F65" i="15" a="1"/>
  <c r="F65" i="15" s="1"/>
  <c r="H55" i="15"/>
  <c r="F60" i="15" a="1"/>
  <c r="F60" i="15" s="1"/>
  <c r="J13" i="55" a="1"/>
  <c r="J13" i="55" s="1"/>
  <c r="F66" i="15" a="1"/>
  <c r="F66" i="15" s="1"/>
  <c r="J234" i="55" a="1"/>
  <c r="J234" i="55" s="1"/>
  <c r="E50" i="15" a="1"/>
  <c r="E50" i="15" s="1"/>
  <c r="J354" i="55" a="1"/>
  <c r="J354" i="55" s="1"/>
  <c r="J258" i="55" a="1"/>
  <c r="J258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240" i="55" a="1"/>
  <c r="J240" i="55" s="1"/>
  <c r="J352" i="55" a="1"/>
  <c r="J352" i="55" s="1"/>
  <c r="E35" i="15" a="1"/>
  <c r="E35" i="15" s="1"/>
  <c r="E17" i="15" a="1"/>
  <c r="E17" i="15" s="1"/>
  <c r="F63" i="15" a="1"/>
  <c r="F63" i="15" s="1"/>
  <c r="E23" i="15" a="1"/>
  <c r="E23" i="15" s="1"/>
  <c r="J358" i="55" a="1"/>
  <c r="J358" i="55" s="1"/>
  <c r="G7" i="45" a="1"/>
  <c r="G7" i="45" s="1"/>
  <c r="H8" i="45" a="1"/>
  <c r="H8" i="45" s="1"/>
  <c r="C14" i="39"/>
  <c r="G9" i="70" l="1"/>
  <c r="G21" i="70"/>
  <c r="E51" i="70"/>
  <c r="E55" i="70" s="1"/>
  <c r="F51" i="70"/>
  <c r="F55" i="70" s="1"/>
  <c r="H349" i="55"/>
  <c r="J349" i="55"/>
  <c r="J350" i="55"/>
  <c r="F22" i="15"/>
  <c r="H350" i="55"/>
  <c r="E22" i="15"/>
  <c r="H11" i="70"/>
  <c r="G13" i="70"/>
  <c r="H5" i="70"/>
  <c r="G25" i="70"/>
  <c r="H7" i="70"/>
  <c r="G54" i="15"/>
  <c r="G56" i="15" s="1"/>
  <c r="G17" i="70"/>
  <c r="G23" i="15"/>
  <c r="I66" i="15"/>
  <c r="H25" i="70"/>
  <c r="H23" i="70"/>
  <c r="H49" i="15"/>
  <c r="H18" i="70"/>
  <c r="H10" i="70"/>
  <c r="G12" i="70"/>
  <c r="H20" i="70"/>
  <c r="G16" i="70"/>
  <c r="H14" i="70"/>
  <c r="H6" i="70"/>
  <c r="G8" i="70"/>
  <c r="G24" i="70"/>
  <c r="I62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6" i="15"/>
  <c r="H54" i="15"/>
  <c r="H56" i="15" s="1"/>
  <c r="I63" i="15"/>
  <c r="L12" i="55"/>
  <c r="E34" i="15"/>
  <c r="G12" i="15"/>
  <c r="G13" i="15" s="1"/>
  <c r="H27" i="15"/>
  <c r="G38" i="15"/>
  <c r="I10" i="45"/>
  <c r="F58" i="15"/>
  <c r="G44" i="15"/>
  <c r="G14" i="15"/>
  <c r="L354" i="55"/>
  <c r="G46" i="15"/>
  <c r="H7" i="12"/>
  <c r="G30" i="15"/>
  <c r="G31" i="15" s="1"/>
  <c r="I9" i="45"/>
  <c r="J9" i="45"/>
  <c r="L240" i="55"/>
  <c r="H21" i="15"/>
  <c r="I7" i="45"/>
  <c r="H44" i="15"/>
  <c r="H35" i="15"/>
  <c r="L356" i="55"/>
  <c r="H5" i="12"/>
  <c r="H38" i="15"/>
  <c r="J6" i="45"/>
  <c r="L13" i="55"/>
  <c r="G39" i="15"/>
  <c r="G40" i="15" s="1"/>
  <c r="G6" i="12"/>
  <c r="J8" i="45"/>
  <c r="G20" i="15"/>
  <c r="L350" i="55" s="1"/>
  <c r="H24" i="15"/>
  <c r="H26" i="15"/>
  <c r="G32" i="15"/>
  <c r="H33" i="15"/>
  <c r="I14" i="45"/>
  <c r="H20" i="15"/>
  <c r="I4" i="45"/>
  <c r="G50" i="15"/>
  <c r="I60" i="15"/>
  <c r="I61" i="15"/>
  <c r="I13" i="45"/>
  <c r="G10" i="15"/>
  <c r="G11" i="15" s="1"/>
  <c r="G49" i="15"/>
  <c r="F34" i="15"/>
  <c r="F51" i="15"/>
  <c r="L355" i="55"/>
  <c r="G27" i="15"/>
  <c r="G33" i="15"/>
  <c r="G7" i="12"/>
  <c r="H30" i="15"/>
  <c r="H31" i="15" s="1"/>
  <c r="J14" i="45"/>
  <c r="J12" i="45"/>
  <c r="J13" i="45"/>
  <c r="J10" i="45"/>
  <c r="I15" i="45"/>
  <c r="H6" i="12"/>
  <c r="F11" i="15"/>
  <c r="L352" i="55"/>
  <c r="H47" i="15"/>
  <c r="H39" i="15"/>
  <c r="H40" i="15" s="1"/>
  <c r="E40" i="15"/>
  <c r="E41" i="15" s="1"/>
  <c r="G5" i="12"/>
  <c r="L353" i="55"/>
  <c r="H10" i="15"/>
  <c r="H11" i="15" s="1"/>
  <c r="L357" i="55"/>
  <c r="J15" i="45"/>
  <c r="G26" i="15"/>
  <c r="G4" i="12"/>
  <c r="G15" i="15"/>
  <c r="G16" i="15" s="1"/>
  <c r="H42" i="15"/>
  <c r="H15" i="15"/>
  <c r="H16" i="15" s="1"/>
  <c r="F31" i="15"/>
  <c r="H4" i="12"/>
  <c r="I65" i="15"/>
  <c r="E29" i="15"/>
  <c r="F16" i="15"/>
  <c r="I12" i="45"/>
  <c r="G21" i="15"/>
  <c r="L17" i="55" s="1"/>
  <c r="F29" i="15"/>
  <c r="G25" i="15"/>
  <c r="L361" i="55" s="1"/>
  <c r="H32" i="15"/>
  <c r="I11" i="45"/>
  <c r="G42" i="15"/>
  <c r="H14" i="15"/>
  <c r="H45" i="15"/>
  <c r="G24" i="15"/>
  <c r="H12" i="15"/>
  <c r="H13" i="15" s="1"/>
  <c r="L234" i="55"/>
  <c r="H28" i="15"/>
  <c r="J17" i="55"/>
  <c r="I5" i="45"/>
  <c r="G52" i="15"/>
  <c r="L351" i="55"/>
  <c r="L239" i="55"/>
  <c r="G45" i="15"/>
  <c r="E48" i="15"/>
  <c r="H52" i="15"/>
  <c r="E53" i="15"/>
  <c r="G53" i="15" s="1"/>
  <c r="I64" i="15"/>
  <c r="H360" i="55"/>
  <c r="G361" i="55" s="1"/>
  <c r="L258" i="55"/>
  <c r="G37" i="15"/>
  <c r="H37" i="15"/>
  <c r="G28" i="15"/>
  <c r="I59" i="15"/>
  <c r="H46" i="15"/>
  <c r="H43" i="15"/>
  <c r="J5" i="45"/>
  <c r="J4" i="45"/>
  <c r="F48" i="15"/>
  <c r="J361" i="55"/>
  <c r="H25" i="15"/>
  <c r="E51" i="15"/>
  <c r="J360" i="55"/>
  <c r="I6" i="45"/>
  <c r="H50" i="15"/>
  <c r="J16" i="55"/>
  <c r="E18" i="15"/>
  <c r="G18" i="15" s="1"/>
  <c r="G17" i="15"/>
  <c r="H17" i="15"/>
  <c r="E15" i="12"/>
  <c r="G47" i="15"/>
  <c r="H23" i="15"/>
  <c r="J11" i="45"/>
  <c r="J7" i="45"/>
  <c r="H16" i="45"/>
  <c r="F15" i="12"/>
  <c r="E17" i="12"/>
  <c r="G35" i="15"/>
  <c r="H16" i="55"/>
  <c r="G17" i="55" s="1"/>
  <c r="G43" i="15"/>
  <c r="E56" i="15"/>
  <c r="G16" i="45"/>
  <c r="L358" i="55"/>
  <c r="I8" i="45"/>
  <c r="F68" i="15" l="1"/>
  <c r="H41" i="15"/>
  <c r="G41" i="15"/>
  <c r="H51" i="70"/>
  <c r="G51" i="70"/>
  <c r="G350" i="55"/>
  <c r="I350" i="55"/>
  <c r="L349" i="55"/>
  <c r="K350" i="55" s="1"/>
  <c r="F19" i="12"/>
  <c r="H51" i="15"/>
  <c r="J17" i="45" s="1"/>
  <c r="I57" i="15"/>
  <c r="G51" i="15"/>
  <c r="H29" i="15"/>
  <c r="G29" i="15"/>
  <c r="G34" i="15"/>
  <c r="I17" i="55"/>
  <c r="H22" i="15"/>
  <c r="E58" i="15"/>
  <c r="I58" i="15" s="1"/>
  <c r="H34" i="15"/>
  <c r="G48" i="15"/>
  <c r="H53" i="15"/>
  <c r="G22" i="15"/>
  <c r="L360" i="55"/>
  <c r="K361" i="55" s="1"/>
  <c r="H48" i="15"/>
  <c r="I361" i="55"/>
  <c r="H18" i="15"/>
  <c r="L16" i="55"/>
  <c r="K17" i="55" s="1"/>
  <c r="G15" i="12"/>
  <c r="I16" i="45"/>
  <c r="J16" i="45"/>
  <c r="H15" i="12"/>
  <c r="E19" i="12"/>
  <c r="H68" i="15" l="1"/>
  <c r="G68" i="15"/>
  <c r="E68" i="15"/>
  <c r="J18" i="45"/>
  <c r="H70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<sst xmlns="http://schemas.openxmlformats.org/spreadsheetml/2006/main" count="9298" uniqueCount="1576">
  <si>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</si>
  <si>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</si>
  <si>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</si>
  <si>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</si>
  <si>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</si>
  <si>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</si>
  <si>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</si>
  <si>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</si>
  <si>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</si>
  <si>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</si>
  <si>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</si>
  <si>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</si>
  <si>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</si>
  <si>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</si>
  <si>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</si>
  <si>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</si>
  <si>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</si>
  <si>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</si>
  <si>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</si>
  <si>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</si>
  <si>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</si>
  <si>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</si>
  <si>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</si>
  <si>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</si>
  <si>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</si>
  <si>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</si>
  <si>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</si>
  <si>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</si>
  <si>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</si>
  <si>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</si>
  <si>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</si>
  <si>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</si>
  <si>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</si>
  <si>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</si>
  <si>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</si>
  <si>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</si>
  <si>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</si>
  <si>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</si>
  <si>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</si>
  <si>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</si>
  <si>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</si>
  <si>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</si>
  <si>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</si>
  <si>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</si>
  <si>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</si>
  <si>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</si>
  <si>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</si>
  <si>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</si>
  <si>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</si>
  <si>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</si>
  <si>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</si>
  <si>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</si>
  <si>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</si>
  <si>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</si>
  <si>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</si>
  <si>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</si>
  <si>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</si>
  <si>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</si>
  <si>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</si>
  <si>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</si>
  <si>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</si>
  <si>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</si>
  <si>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</si>
  <si>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</si>
  <si>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</si>
  <si>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</si>
  <si>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</si>
  <si>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</si>
  <si>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</si>
  <si>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</si>
  <si>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</si>
  <si>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</si>
  <si>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</si>
  <si>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</si>
  <si>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</si>
  <si>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</si>
  <si>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</si>
  <si>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</si>
  <si>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</si>
  <si>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</si>
  <si>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</si>
  <si>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</si>
  <si>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</si>
  <si>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</si>
  <si>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</si>
  <si>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</si>
  <si>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</si>
  <si>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</si>
  <si>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</si>
  <si>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</si>
  <si>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</si>
  <si>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</si>
  <si>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</si>
  <si>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</si>
  <si>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</si>
  <si>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</si>
  <si>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</si>
  <si>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</si>
  <si>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</si>
  <si>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</si>
  <si>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</si>
  <si>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</si>
  <si>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</si>
  <si>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</si>
  <si>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</si>
  <si>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</si>
  <si>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</si>
  <si>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</si>
  <si>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</si>
  <si>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</si>
  <si>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</si>
  <si>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</si>
  <si>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</si>
  <si>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</si>
  <si>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</si>
  <si>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</si>
  <si>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</si>
  <si>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</si>
  <si>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</si>
  <si>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</si>
  <si>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</si>
  <si>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</si>
  <si>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</si>
  <si>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</si>
  <si>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</si>
  <si>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</si>
  <si>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</si>
  <si>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</si>
  <si>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</si>
  <si>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</si>
  <si>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</si>
  <si>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</si>
  <si>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</si>
  <si>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</si>
  <si>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</si>
  <si>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</si>
  <si>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</si>
  <si>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</si>
  <si>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</si>
  <si>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</si>
  <si>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</si>
  <si>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</si>
  <si>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</si>
  <si>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</si>
  <si>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</si>
  <si>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</si>
  <si>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</si>
  <si>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</si>
  <si>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</si>
  <si>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</si>
  <si>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</si>
  <si>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</si>
  <si>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</si>
  <si>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</si>
  <si>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</si>
  <si>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</si>
  <si>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</si>
  <si>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</si>
  <si>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</si>
  <si>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</si>
  <si>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</si>
  <si>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</si>
  <si>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</si>
  <si>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</si>
  <si>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</si>
  <si>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</si>
  <si>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</si>
  <si>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</si>
  <si>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</si>
  <si>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</si>
  <si>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</si>
  <si>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</si>
  <si>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</si>
  <si>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</si>
  <si>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</si>
  <si>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</si>
  <si>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</si>
  <si>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</si>
  <si>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</si>
  <si>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</si>
  <si>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</si>
  <si>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</si>
  <si>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</si>
  <si>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</si>
  <si>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</si>
  <si>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</si>
  <si>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</si>
  <si>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</si>
  <si>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</si>
  <si>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</si>
  <si>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</si>
  <si>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</si>
  <si>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</si>
  <si>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</si>
  <si>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</si>
  <si>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</si>
  <si>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</si>
  <si>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</si>
  <si>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</si>
  <si>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</si>
  <si>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</si>
  <si>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</si>
  <si>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</si>
  <si>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</si>
  <si>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</si>
  <si>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</si>
  <si>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</si>
  <si>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</si>
  <si>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</si>
  <si>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</si>
  <si>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</si>
  <si>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</si>
  <si>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</si>
  <si>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</si>
  <si>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</si>
  <si>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</si>
  <si>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</si>
  <si>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</si>
  <si>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</si>
  <si>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</si>
  <si>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</si>
  <si>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</si>
  <si>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</si>
  <si>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</si>
  <si>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</si>
  <si>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</si>
  <si>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</si>
  <si>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</si>
  <si>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</si>
  <si>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</si>
  <si>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</si>
  <si>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</si>
  <si>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</si>
  <si>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</si>
  <si>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</si>
  <si>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</si>
  <si>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</si>
  <si>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</si>
  <si>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</si>
  <si>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</si>
  <si>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</si>
  <si>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</si>
  <si>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</si>
  <si>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</si>
  <si>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</si>
  <si>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</si>
  <si>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</si>
  <si>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</si>
  <si>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</si>
  <si>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</si>
  <si>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</si>
  <si>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</si>
  <si>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</si>
  <si>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</si>
  <si>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</si>
  <si>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</si>
  <si>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</si>
  <si>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</si>
  <si>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</si>
  <si>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</si>
  <si>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</si>
  <si>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</si>
  <si>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</si>
  <si>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</si>
  <si>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</si>
  <si>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</si>
  <si>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</si>
  <si>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</si>
  <si>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</si>
  <si>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</si>
  <si>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</si>
  <si>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</si>
  <si>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</si>
  <si>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</si>
  <si>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</si>
  <si>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</si>
  <si>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</si>
  <si>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</si>
  <si>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</si>
  <si>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</si>
  <si>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</si>
  <si>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</si>
  <si>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</si>
  <si>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</si>
  <si>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</si>
  <si>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</si>
  <si>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</si>
  <si>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</si>
  <si>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</si>
  <si>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</si>
  <si>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</si>
  <si>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</si>
  <si>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</si>
  <si>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</si>
  <si>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</si>
  <si>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</si>
  <si>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</si>
  <si>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</si>
  <si>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</si>
  <si>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</si>
  <si>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</si>
  <si>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</si>
  <si>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</si>
  <si>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</si>
  <si>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</si>
  <si>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</si>
  <si>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</si>
  <si>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</si>
  <si>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</si>
  <si>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</si>
  <si>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</si>
  <si>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</si>
  <si>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</si>
  <si>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</si>
  <si>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</si>
  <si>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</si>
  <si>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</si>
  <si>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</si>
  <si>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</si>
  <si>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</si>
  <si>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</si>
  <si>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</si>
  <si>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</si>
  <si>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</si>
  <si>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</si>
  <si>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</si>
  <si>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</si>
  <si>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</si>
  <si>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</si>
  <si>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</si>
  <si>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</si>
  <si>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</si>
  <si>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</si>
  <si>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</si>
  <si>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</si>
  <si>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</si>
  <si>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</si>
  <si>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</si>
  <si>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</si>
  <si>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</si>
  <si>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</si>
  <si>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</si>
  <si>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</si>
  <si>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</si>
  <si>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</si>
  <si>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</si>
  <si>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</si>
  <si>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</si>
  <si>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</si>
  <si>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</si>
  <si>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</si>
  <si>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</si>
  <si>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</si>
  <si>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</si>
  <si>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</si>
  <si>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</si>
  <si>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</si>
  <si>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</si>
  <si>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</si>
  <si>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</si>
  <si>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</si>
  <si>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</si>
  <si>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</si>
  <si>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</si>
  <si>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</si>
  <si>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</si>
  <si>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</si>
  <si>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</si>
  <si>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</si>
  <si>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</si>
  <si>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</si>
  <si>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</si>
  <si>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</si>
  <si>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</si>
  <si>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</si>
  <si>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</si>
  <si>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</si>
  <si>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</si>
  <si>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</si>
  <si>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</si>
  <si>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</si>
  <si>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</si>
  <si>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</si>
  <si>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</si>
  <si>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</si>
  <si>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</si>
  <si>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</si>
  <si>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</si>
  <si>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</si>
  <si>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</si>
  <si>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</si>
  <si>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</si>
  <si>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</si>
  <si>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</si>
  <si>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</si>
  <si>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</si>
  <si>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</si>
  <si>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</si>
  <si>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</si>
  <si>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</si>
  <si>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</si>
  <si>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</si>
  <si>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</si>
  <si>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</si>
  <si>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</si>
  <si>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</si>
  <si>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</si>
  <si>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</si>
  <si>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</si>
  <si>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</si>
  <si>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</si>
  <si>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</si>
  <si>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</si>
  <si>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</si>
  <si>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</si>
  <si>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</si>
  <si>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</si>
  <si>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</si>
  <si>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</si>
  <si>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</si>
  <si>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</si>
  <si>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</si>
  <si>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</si>
  <si>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</si>
  <si>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</si>
  <si>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</si>
  <si>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</si>
  <si>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</si>
  <si>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</si>
  <si>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</si>
  <si>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</si>
  <si>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</si>
  <si>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</si>
  <si>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</si>
  <si>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</si>
  <si>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</si>
  <si>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</si>
  <si>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</si>
  <si>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</si>
  <si>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</si>
  <si>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</si>
  <si>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</si>
  <si>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</si>
  <si>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</si>
  <si>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</si>
  <si>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</si>
  <si>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</si>
  <si>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</si>
  <si>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</si>
  <si>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</si>
  <si>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</si>
  <si>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</si>
  <si>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</si>
  <si>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</si>
  <si>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</si>
  <si>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</si>
  <si>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</si>
  <si>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</si>
  <si>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</si>
  <si>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</si>
  <si>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</si>
  <si>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</si>
  <si>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</si>
  <si>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</si>
  <si>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</si>
  <si>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</si>
  <si>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</si>
  <si>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</si>
  <si>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</si>
  <si>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</si>
  <si>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</si>
  <si>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</si>
  <si>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</si>
  <si>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</si>
  <si>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</si>
  <si>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</si>
  <si>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</si>
  <si>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</si>
  <si>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</si>
  <si>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</si>
  <si>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</si>
  <si>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</si>
  <si>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</si>
  <si>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</si>
  <si>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</si>
  <si>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</si>
  <si>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</si>
  <si>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</si>
  <si>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</si>
  <si>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</si>
  <si>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</si>
  <si>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</si>
  <si>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</si>
  <si>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</si>
  <si>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</si>
  <si>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</si>
  <si>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</si>
  <si>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</si>
  <si>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</si>
  <si>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</si>
  <si>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</si>
  <si>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</si>
  <si>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</si>
  <si>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</si>
  <si>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</si>
  <si>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</si>
  <si>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</si>
  <si>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</si>
  <si>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</si>
  <si>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</si>
  <si>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</si>
  <si>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</si>
  <si>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</si>
  <si>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</si>
  <si>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</si>
  <si>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</si>
  <si>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</si>
  <si>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</si>
  <si>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</si>
  <si>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</si>
  <si>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</si>
  <si>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</si>
  <si>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</si>
  <si>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</si>
  <si>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</si>
  <si>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</si>
  <si>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</si>
  <si>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</si>
  <si>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</si>
  <si>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</si>
  <si>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</si>
  <si>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</si>
  <si>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</si>
  <si>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</si>
  <si>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</si>
  <si>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</si>
  <si>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</si>
  <si>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</si>
  <si>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</si>
  <si>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</si>
  <si>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</si>
  <si>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</si>
  <si>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</si>
  <si>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</si>
  <si>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</si>
  <si>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</si>
  <si>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</si>
  <si>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</si>
  <si>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</si>
  <si>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</si>
  <si>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</si>
  <si>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</si>
  <si>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</si>
  <si>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</si>
  <si>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</si>
  <si>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</si>
  <si>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</si>
  <si>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</si>
  <si>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</si>
  <si>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</si>
  <si>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</si>
  <si>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</si>
  <si>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</si>
  <si>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</si>
  <si>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</si>
  <si>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</si>
  <si>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</si>
  <si>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</si>
  <si>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</si>
  <si>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</si>
  <si>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</si>
  <si>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</si>
  <si>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</si>
  <si>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</si>
  <si>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</si>
  <si>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</si>
  <si>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</si>
  <si>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</si>
  <si>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</si>
  <si>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</si>
  <si>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</si>
  <si>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</si>
  <si>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</si>
  <si>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</si>
  <si>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</si>
  <si>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</si>
  <si>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</si>
  <si>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</si>
  <si>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</si>
  <si>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</si>
  <si>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</si>
  <si>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</si>
  <si>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</si>
  <si>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</si>
  <si>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</si>
  <si>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</si>
  <si>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</si>
  <si>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</si>
  <si>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</si>
  <si>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</si>
  <si>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</si>
  <si>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</si>
  <si>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</si>
  <si>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</si>
  <si>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</si>
  <si>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</si>
  <si>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</si>
  <si>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</si>
  <si>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</si>
  <si>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</si>
  <si>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</si>
  <si>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</si>
  <si>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</si>
  <si>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</si>
  <si>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</si>
  <si>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</si>
  <si>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</si>
  <si>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</si>
  <si>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</si>
  <si>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</si>
  <si>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</si>
  <si>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</si>
  <si>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</si>
  <si>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</si>
  <si>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</si>
  <si>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</si>
  <si>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</si>
  <si>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</si>
  <si>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</si>
  <si>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</si>
  <si>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</si>
  <si>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</si>
  <si>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</si>
  <si>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</si>
  <si>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</si>
  <si>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</si>
  <si>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</si>
  <si>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</si>
  <si>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</si>
  <si>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</si>
  <si>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</si>
  <si>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</si>
  <si>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</si>
  <si>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</si>
  <si>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</si>
  <si>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</si>
  <si>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</si>
  <si>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</si>
  <si>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</si>
  <si>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</si>
  <si>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</si>
  <si>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</si>
  <si>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</si>
  <si>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</si>
  <si>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</si>
  <si>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</si>
  <si>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</si>
  <si>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</si>
  <si>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</si>
  <si>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</si>
  <si>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</si>
  <si>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</si>
  <si>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</si>
  <si>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</si>
  <si>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</si>
  <si>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</si>
  <si>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</si>
  <si>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</si>
  <si>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</si>
  <si>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</si>
  <si>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</si>
  <si>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</si>
  <si>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</si>
  <si>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</si>
  <si>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</si>
  <si>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</si>
  <si>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</si>
  <si>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</si>
  <si>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</si>
  <si>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</si>
  <si>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</si>
  <si>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</si>
  <si>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</si>
  <si>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</si>
  <si>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</si>
  <si>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</si>
  <si>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</si>
  <si>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</si>
  <si>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</si>
  <si>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</si>
  <si>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</si>
  <si>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</si>
  <si>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</si>
  <si>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</si>
  <si>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</si>
  <si>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</si>
  <si>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</si>
  <si>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</si>
  <si>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</si>
  <si>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</si>
  <si>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</si>
  <si>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</si>
  <si>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</si>
  <si>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</si>
  <si>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</si>
  <si>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</si>
  <si>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</si>
  <si>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</si>
  <si>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</si>
  <si>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</si>
  <si>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</si>
  <si>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</si>
  <si>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</si>
  <si>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</si>
  <si>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</si>
  <si>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</si>
  <si>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</si>
  <si>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</si>
  <si>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</si>
  <si>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</si>
  <si>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</si>
  <si>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</si>
  <si>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</si>
  <si>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</si>
  <si>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</si>
  <si>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</si>
  <si>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</si>
  <si>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</si>
  <si>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</si>
  <si>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</si>
  <si>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</si>
  <si>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</si>
  <si>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</si>
  <si>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</si>
  <si>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</si>
  <si>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</si>
  <si>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</si>
  <si>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</si>
  <si>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</si>
  <si>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</si>
  <si>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</si>
  <si>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</si>
  <si>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</si>
  <si>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</si>
  <si>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</si>
  <si>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</si>
  <si>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</si>
  <si>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</si>
  <si>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</si>
  <si>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</si>
  <si>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</si>
  <si>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</si>
  <si>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</si>
  <si>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</si>
  <si>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</si>
  <si>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</si>
  <si>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</si>
  <si>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</si>
  <si>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</si>
  <si>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</si>
  <si>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</si>
  <si>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</si>
  <si>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</si>
  <si>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</si>
  <si>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</si>
  <si>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</si>
  <si>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</si>
  <si>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</si>
  <si>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</si>
  <si>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</si>
  <si>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</si>
  <si>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</si>
  <si>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</si>
  <si>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</si>
  <si>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</si>
  <si>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</si>
  <si>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</si>
  <si>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</si>
  <si>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</si>
  <si>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</si>
  <si>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</si>
  <si>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</si>
  <si>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</si>
  <si>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</si>
  <si>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</si>
  <si>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</si>
  <si>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</si>
  <si>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</si>
  <si>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</si>
  <si>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</si>
  <si>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</si>
  <si>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</si>
  <si>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</si>
  <si>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</si>
  <si>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</si>
  <si>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</si>
  <si>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</si>
  <si>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</si>
  <si>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</si>
  <si>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</si>
  <si>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</si>
  <si>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</si>
  <si>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</si>
  <si>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</si>
  <si>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</si>
  <si>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</si>
  <si>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</si>
  <si>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</si>
  <si>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</si>
  <si>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</si>
  <si>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</si>
  <si>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</si>
  <si>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</si>
  <si>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</si>
  <si>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</si>
  <si>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</si>
  <si>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</si>
  <si>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</si>
  <si>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</si>
  <si>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</si>
  <si>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</si>
  <si>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</si>
  <si>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</si>
  <si>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</si>
  <si>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</si>
  <si>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</si>
  <si>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</si>
  <si>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</si>
  <si>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</si>
  <si>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</si>
  <si>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</si>
  <si>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</si>
  <si>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</si>
  <si>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</si>
  <si>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</si>
  <si>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</si>
  <si>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</si>
  <si>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</si>
  <si>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</si>
  <si>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</si>
  <si>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</si>
  <si>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</si>
  <si>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</si>
  <si>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</si>
  <si>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</si>
  <si>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</si>
  <si>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</si>
  <si>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</si>
  <si>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</si>
  <si>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</si>
  <si>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</si>
  <si>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</si>
  <si>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</si>
  <si>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</si>
  <si>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</si>
  <si>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</si>
  <si>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</si>
  <si>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</si>
  <si>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</si>
  <si>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</si>
  <si>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</si>
  <si>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</si>
  <si>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</si>
  <si>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</si>
  <si>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</si>
  <si>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</si>
  <si>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</si>
  <si>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</si>
  <si>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</si>
  <si>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</si>
  <si>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</si>
  <si>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</si>
  <si>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</si>
  <si>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</si>
  <si>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</si>
  <si>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</si>
  <si>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</si>
  <si>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</si>
  <si>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</si>
  <si>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</si>
  <si>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</si>
  <si>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</si>
  <si>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</si>
  <si>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</si>
  <si>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</si>
  <si>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</si>
  <si>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</si>
  <si>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</si>
  <si>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</si>
  <si>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</si>
  <si>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</si>
  <si>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</si>
  <si>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</si>
  <si>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</si>
  <si>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</si>
  <si>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</si>
  <si>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</si>
  <si>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</si>
  <si>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</si>
  <si>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</si>
  <si>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</si>
  <si>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</si>
  <si>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</si>
  <si>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</si>
  <si>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</si>
  <si>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</si>
  <si>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</si>
  <si>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</si>
  <si>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</si>
  <si>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</si>
  <si>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</si>
  <si>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</si>
  <si>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</si>
  <si>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</si>
  <si>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</si>
  <si>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</si>
  <si>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</si>
  <si>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</si>
  <si>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</si>
  <si>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</si>
  <si>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</si>
  <si>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</si>
  <si>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</si>
  <si>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</si>
  <si>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</si>
  <si>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</si>
  <si>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</si>
  <si>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</si>
  <si>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</si>
  <si>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</si>
  <si>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</si>
  <si>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</si>
  <si>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</si>
  <si>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</si>
  <si>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</si>
  <si>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</si>
  <si>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</si>
  <si>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</si>
  <si>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</si>
  <si>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</si>
  <si>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</si>
  <si>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</si>
  <si>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</si>
  <si>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</si>
  <si>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</si>
  <si>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</si>
  <si>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</si>
  <si>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</si>
  <si>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</si>
  <si>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</si>
  <si>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</si>
  <si>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</si>
  <si>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</si>
  <si>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</si>
  <si>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</si>
  <si>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</si>
  <si>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</si>
  <si>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</si>
  <si>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</si>
  <si>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</si>
  <si>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</si>
  <si>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</si>
  <si>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</si>
  <si>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</si>
  <si>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</si>
  <si>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</si>
  <si>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</si>
  <si>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</si>
  <si>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</si>
  <si>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</si>
  <si>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</si>
  <si>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</si>
  <si>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</si>
  <si>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</si>
  <si>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</si>
  <si>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</si>
  <si>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</si>
  <si>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</si>
  <si>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</si>
  <si>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</si>
  <si>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</si>
  <si>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</si>
  <si>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</si>
  <si>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</si>
  <si>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</si>
  <si>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</si>
  <si>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</si>
  <si>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</si>
  <si>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</si>
  <si>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</si>
  <si>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</si>
  <si>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</si>
  <si>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</si>
  <si>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</si>
  <si>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</si>
  <si>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</si>
  <si>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</si>
  <si>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</si>
  <si>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</si>
  <si>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</si>
  <si>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</si>
  <si>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</si>
  <si>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</si>
  <si>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</si>
  <si>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</si>
  <si>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</si>
  <si>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</si>
  <si>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</si>
  <si>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</si>
  <si>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</si>
  <si>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</si>
  <si>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</si>
  <si>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</si>
  <si>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</si>
  <si>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</si>
  <si>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</si>
  <si>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</si>
  <si>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</si>
  <si>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</si>
  <si>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</si>
  <si>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</si>
  <si>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</si>
  <si>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</si>
  <si>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</si>
  <si>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</si>
  <si>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</si>
  <si>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</si>
  <si>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</si>
  <si>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</si>
  <si>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</si>
  <si>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</si>
  <si>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</si>
  <si>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</si>
  <si>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</si>
  <si>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</si>
  <si>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</si>
  <si>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</si>
  <si>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</si>
  <si>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</si>
  <si>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</si>
  <si>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</si>
  <si>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</si>
  <si>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</si>
  <si>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</si>
  <si>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</si>
  <si>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</si>
  <si>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</si>
  <si>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</si>
  <si>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</si>
  <si>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</si>
  <si>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</si>
  <si>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</si>
  <si>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</si>
  <si>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</si>
  <si>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</si>
  <si>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</si>
  <si>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</si>
  <si>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</si>
  <si>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</si>
  <si>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</si>
  <si>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</si>
  <si>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</si>
  <si>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</si>
  <si>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</si>
  <si>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</si>
  <si>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</si>
  <si>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</si>
  <si>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</si>
  <si>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</si>
  <si>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</si>
  <si>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</si>
  <si>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</si>
  <si>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</si>
  <si>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</si>
  <si>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</si>
  <si>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</si>
  <si>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</si>
  <si>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</si>
  <si>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</si>
  <si>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</si>
  <si>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</si>
  <si>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</si>
  <si>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</si>
  <si>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</si>
  <si>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</si>
  <si>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</si>
  <si>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</si>
  <si>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</si>
  <si>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</si>
  <si>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</si>
  <si>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</si>
  <si>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</si>
  <si>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</si>
  <si>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</si>
  <si>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</si>
  <si>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</si>
  <si>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</si>
  <si>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</si>
  <si>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</si>
  <si>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</si>
  <si>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</si>
  <si>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</si>
  <si>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</si>
  <si>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</si>
  <si>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</si>
  <si>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</si>
  <si>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</si>
  <si>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</si>
  <si>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</si>
  <si>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</si>
  <si>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</si>
  <si>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</si>
  <si>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</si>
  <si>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</si>
  <si>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</si>
  <si>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</si>
  <si>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</si>
  <si>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</si>
  <si>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</si>
  <si>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</si>
  <si>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</si>
  <si>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</si>
  <si>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</si>
  <si>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</si>
  <si>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</si>
  <si>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</si>
  <si>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</si>
  <si>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</si>
  <si>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</si>
  <si>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</si>
  <si>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</si>
  <si>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</si>
  <si>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TM DV An Vinh</t>
  </si>
  <si>
    <t>Cty TNHH Khắc Việt</t>
  </si>
  <si>
    <t>Cty TNHH TM May Mặc Nhân Phát</t>
  </si>
  <si>
    <t>Đoàn Tiếp Viên - Tổng Cty Hàng Không VN</t>
  </si>
  <si>
    <t>CN Cty TNHH SX TM Mỹ An</t>
  </si>
  <si>
    <t>Cty TNHH Bao Bì Huỳnh Long</t>
  </si>
  <si>
    <t>Cty TNHH TMDV Và Kỹ Thuật Tiến Phương</t>
  </si>
  <si>
    <t>Cty TNHH CN Nghệ Năng</t>
  </si>
  <si>
    <t>Cty TNHH Bao Bì Vĩnh Phát</t>
  </si>
  <si>
    <t>Cty TNHH Nhựa Hưng Phú</t>
  </si>
  <si>
    <t>Cty TNHH SX TM Bắp Cải Xanh</t>
  </si>
  <si>
    <t>Cty TNHH SX DV TN Hùng Nga</t>
  </si>
  <si>
    <t>Cty TNHH TM Lê Gia Phat</t>
  </si>
  <si>
    <t>Cty CP XNK Dầu Nhờn Hà Nội</t>
  </si>
  <si>
    <t>Cty TNHH Tân Hải Hòa</t>
  </si>
  <si>
    <t>Cty CP Thực Phẩm Dinh Dưỡng Hoàng Trung Kha</t>
  </si>
  <si>
    <t>Cty TNHH XNK CBTP Hoàng Thiên Hương</t>
  </si>
  <si>
    <t>Thùng KVT 085(38x38x68,5)</t>
  </si>
  <si>
    <t>0000092</t>
  </si>
  <si>
    <t>Tấm KVT CBMO(35x35)</t>
  </si>
  <si>
    <t>Thùng KVT 086(100x33,5x86)</t>
  </si>
  <si>
    <t>Tấm KVT 086 MO(30,5x97)</t>
  </si>
  <si>
    <t>Góc carton(14x14)</t>
  </si>
  <si>
    <t xml:space="preserve">VAT thùng </t>
  </si>
  <si>
    <t>Thùng carton 5 lớp</t>
  </si>
  <si>
    <t>0000093</t>
  </si>
  <si>
    <t>Cty TNHH SX May Áo Thun Sài Gòn Phú Thành</t>
  </si>
  <si>
    <t>0000094</t>
  </si>
  <si>
    <t>Cty TNHH Ngô Gia Nam</t>
  </si>
  <si>
    <t>0000095</t>
  </si>
  <si>
    <t>Thùng trứng cá thu(37x28x19)</t>
  </si>
  <si>
    <t>0000096</t>
  </si>
  <si>
    <t>Thùng cá Pasa fillet200g(37x28x14,5)</t>
  </si>
  <si>
    <t>Thùng vay cá hổi(40x26,5x29)</t>
  </si>
  <si>
    <t>Thùng lẩu thái hải sản(43,5x21,5x23)</t>
  </si>
  <si>
    <t>Thùng KOB 490(75x63x52)</t>
  </si>
  <si>
    <t>0000097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</si>
  <si>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</si>
  <si>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</si>
  <si>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</si>
  <si>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</si>
  <si>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</si>
  <si>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3 lớp(81x42x54)</t>
  </si>
  <si>
    <t>0000103</t>
  </si>
  <si>
    <t>Cty TNHH TM-SX Phước Thịnh Trần</t>
  </si>
  <si>
    <t>Thùng 3 lớp(57x44x48)</t>
  </si>
  <si>
    <t>Thùng 5 lớp(57x44x48)</t>
  </si>
  <si>
    <t>Lót (43x47)</t>
  </si>
  <si>
    <t>Bộ Vĩ</t>
  </si>
  <si>
    <t>Thùng lẩu tứ xuyên</t>
  </si>
  <si>
    <t>0000104</t>
  </si>
  <si>
    <t>Thùng carton</t>
  </si>
  <si>
    <t>0000106</t>
  </si>
  <si>
    <t>VAT thùng</t>
  </si>
  <si>
    <t>Thùng carton 3 lớp(63x26,5x24,6)</t>
  </si>
  <si>
    <t>0000108</t>
  </si>
  <si>
    <t>Cty TNHH Quảng Cáo Lâm Quốc Đạt</t>
  </si>
  <si>
    <t>Thùng carton (63x38x15)</t>
  </si>
  <si>
    <t>0000112</t>
  </si>
  <si>
    <t xml:space="preserve">Thùng carton </t>
  </si>
  <si>
    <t>0000113</t>
  </si>
  <si>
    <t>0000114</t>
  </si>
  <si>
    <t>Thùng carton 3 lớp</t>
  </si>
  <si>
    <t>0000115</t>
  </si>
  <si>
    <t>Thùng carton (47x37,5x23)</t>
  </si>
  <si>
    <t>0000119</t>
  </si>
  <si>
    <t>Cty Cổ phần thuốc BVTV Việt Trung</t>
  </si>
  <si>
    <t>Thùng carton (520x265x265)</t>
  </si>
  <si>
    <t>Thùng carton (520x320x210)</t>
  </si>
  <si>
    <t>Thùng carton (500x250x360)</t>
  </si>
  <si>
    <t>Thùng carton (620x510x290)</t>
  </si>
  <si>
    <t>Thùng carton (555x33x21,5)</t>
  </si>
  <si>
    <t>0000121</t>
  </si>
  <si>
    <t>Thùng 5 lớp</t>
  </si>
  <si>
    <t>0000122</t>
  </si>
  <si>
    <t xml:space="preserve">Cty TNHH Tân Mậu Hưng </t>
  </si>
  <si>
    <t>Thùng 5 lớp 12N5 3B</t>
  </si>
  <si>
    <t>Thùng 5 lớp TT51 B</t>
  </si>
  <si>
    <t xml:space="preserve">Thùng 5 lớp TTX7A B </t>
  </si>
  <si>
    <t>Thùng carton1405x26x12</t>
  </si>
  <si>
    <t>Thùng carton (520x245x245)</t>
  </si>
  <si>
    <t>0000125</t>
  </si>
  <si>
    <t>Thùng carton(225x235x520)</t>
  </si>
  <si>
    <t>Thủng carton 3 lớp(53x43x35)</t>
  </si>
  <si>
    <t>0000126</t>
  </si>
  <si>
    <t>Cty MTV TN DV CBTD Đức Linh</t>
  </si>
  <si>
    <t>Thùng 5 lớp (19x10x63)</t>
  </si>
  <si>
    <t>0000127</t>
  </si>
  <si>
    <t>Cty TNHH Tân Hiệp Phú</t>
  </si>
  <si>
    <t>Tấm lót(87x593x7)</t>
  </si>
  <si>
    <t>Thùng carton 3 lớp(97x44x48)</t>
  </si>
  <si>
    <t>0000128</t>
  </si>
  <si>
    <t>Thùng 5 lớp TP (124GW128)</t>
  </si>
  <si>
    <t>0000129</t>
  </si>
  <si>
    <t>Thùng 5 lớp(136GW140)</t>
  </si>
  <si>
    <t>Thùng 5 lớp(140GW144)</t>
  </si>
  <si>
    <t>Tấm lót(97x89)</t>
  </si>
  <si>
    <t>Tấm lót(30x11)</t>
  </si>
  <si>
    <t>Thùng bột tỏi</t>
  </si>
  <si>
    <t>0000130</t>
  </si>
  <si>
    <t>Thùng carton 5 lớp PO 37736</t>
  </si>
  <si>
    <t>0000131</t>
  </si>
  <si>
    <t>Cty TNHH TN XNK Thiên Phước</t>
  </si>
  <si>
    <t>Thùng carton 5 lớp PO 37670</t>
  </si>
  <si>
    <t>Thùng carton 5 lớp PO 37416</t>
  </si>
  <si>
    <t>Thùng carton 5 lớp PO 37724</t>
  </si>
  <si>
    <t>Thùng carton 5 lớp PO 37300</t>
  </si>
  <si>
    <t>Thùng 5 lớp NP 4 5 6 (36x21x13)</t>
  </si>
  <si>
    <t>0000132</t>
  </si>
  <si>
    <t>Thùng 5 lớp 12 7(36x21,5x11,5)</t>
  </si>
  <si>
    <t>Tấm lót(12x36)</t>
  </si>
  <si>
    <t>0000133</t>
  </si>
  <si>
    <t>0000134</t>
  </si>
  <si>
    <t>Thùng carton 5 lớp(44x35,5x12)</t>
  </si>
  <si>
    <t>0000135</t>
  </si>
  <si>
    <t>Thùng carton (57x38x33)</t>
  </si>
  <si>
    <t>0000137</t>
  </si>
  <si>
    <t>Thùng carton(43x29x29)</t>
  </si>
  <si>
    <t>Thùng tôm sú 500g (43x31x24)</t>
  </si>
  <si>
    <t>0000138</t>
  </si>
  <si>
    <t>Thùng carton (51x38x14)</t>
  </si>
  <si>
    <t>0000140</t>
  </si>
  <si>
    <t>Thùng bột tiêu(46,5x29,5x14)</t>
  </si>
  <si>
    <t>0000141</t>
  </si>
  <si>
    <t>Cty TNHH Thiên Thành</t>
  </si>
  <si>
    <t>Thùng bột cari(46,5x29,5x16)</t>
  </si>
  <si>
    <t>Tấm lót(56x43)</t>
  </si>
  <si>
    <t>0000142</t>
  </si>
  <si>
    <t>Vĩ dài(56x15)</t>
  </si>
  <si>
    <t>Thùng carton  PO 38040</t>
  </si>
  <si>
    <t>0000143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</si>
  <si>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</si>
  <si>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</si>
  <si>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</si>
  <si>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</si>
  <si>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</si>
  <si>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0000144</t>
  </si>
  <si>
    <t>Thùng car 29 (104x19x53)</t>
  </si>
  <si>
    <t>0000146</t>
  </si>
  <si>
    <t>Thùng car 29(104x15x104)</t>
  </si>
  <si>
    <t>Tấm lót (110x100)</t>
  </si>
  <si>
    <t>Thùng car 15(92x49x10)</t>
  </si>
  <si>
    <t>Tấm lót thùng (57x44x48)</t>
  </si>
  <si>
    <t>0000147</t>
  </si>
  <si>
    <t>Thùng 5 lớp(54,5x24,5x24,5)</t>
  </si>
  <si>
    <t>0000148</t>
  </si>
  <si>
    <t>Cty TNHH NTV SX TM Nhựa Tân Thịnh Phát</t>
  </si>
  <si>
    <t>Thùng 5 lớp (51,5x27x26)</t>
  </si>
  <si>
    <t>Thùng Nghêu lua200g(37x27,5x18)</t>
  </si>
  <si>
    <t>0000149</t>
  </si>
  <si>
    <t>Thùng carton Apollo(40,5x26x12)</t>
  </si>
  <si>
    <t>0000151</t>
  </si>
  <si>
    <t>Thùng carton Tech3y3(41x26x12)</t>
  </si>
  <si>
    <t>Thùng carton zongwei(41x26x12)</t>
  </si>
  <si>
    <t>Thùng carton 5 lớp(45x35x30)</t>
  </si>
  <si>
    <t>0000155</t>
  </si>
  <si>
    <t>Cty TNHH CN Trí Tín</t>
  </si>
  <si>
    <t>Thùng carton 3 lớp(40x30x20)</t>
  </si>
  <si>
    <t>Thùng carton 3 lớp (57x44x48)</t>
  </si>
  <si>
    <t>0000157</t>
  </si>
  <si>
    <t>Thùng hương liệu 6 cal(54,5x36,5x23,5)</t>
  </si>
  <si>
    <t>0000158</t>
  </si>
  <si>
    <t>Cty CP Nam Bộ</t>
  </si>
  <si>
    <t>Thùng latino(37x38,5x22,5)</t>
  </si>
  <si>
    <t>Thùng carton(52x26,5x26,5)</t>
  </si>
  <si>
    <t>0000159</t>
  </si>
  <si>
    <t>Thùng carton(52x33x32)</t>
  </si>
  <si>
    <t>Thùng carton(50x49x31)</t>
  </si>
  <si>
    <t>Thùng carton(52x42x29)</t>
  </si>
  <si>
    <t>Thùng carton(62x51x29)</t>
  </si>
  <si>
    <t>Thùng carton 5 lớp(23x17x18,5)</t>
  </si>
  <si>
    <t>0000160</t>
  </si>
  <si>
    <t>Tấm lót (22x16)</t>
  </si>
  <si>
    <t>Tấm lót (12x18,5)</t>
  </si>
  <si>
    <t>Thùng carton 3 lớp(51,5x25,5x25,5)</t>
  </si>
  <si>
    <t>0000161</t>
  </si>
  <si>
    <t>Cty TNHH Hưng Phú Vinh</t>
  </si>
  <si>
    <t>Thung carton 3 lớp(40x29,5x29)</t>
  </si>
  <si>
    <t>0000163</t>
  </si>
  <si>
    <t>Thung carton 3 lớp(52x27x27)</t>
  </si>
  <si>
    <t>0000164</t>
  </si>
  <si>
    <t>Cty TNHH SX Vạn Phú</t>
  </si>
  <si>
    <t>0000165</t>
  </si>
  <si>
    <t>Thùng carton(52x24,5x24,5)</t>
  </si>
  <si>
    <t>Thùng carton(48x40x29)</t>
  </si>
  <si>
    <t>Thùng carton(415x30x105)</t>
  </si>
  <si>
    <t>0000166</t>
  </si>
  <si>
    <t>Cty Tân Mậu Hưng</t>
  </si>
  <si>
    <t>Thùng carton Tech3y3 12M50</t>
  </si>
  <si>
    <t>Vách ngăn(22x8)</t>
  </si>
  <si>
    <t>Thung car30(124x65x33)</t>
  </si>
  <si>
    <t>0000167</t>
  </si>
  <si>
    <t>Thung car31(62x10x94)</t>
  </si>
  <si>
    <t>Thùng carton 5 lớp(35x29x31)</t>
  </si>
  <si>
    <t>0000168</t>
  </si>
  <si>
    <t>Cty CP Điễm Hẹn Thiên Nhân</t>
  </si>
  <si>
    <t>Thùng carton 3 lớp(35x29x31)</t>
  </si>
  <si>
    <t>Thùng carton 3 lớp(30x29x63)</t>
  </si>
  <si>
    <t>Thùng carton 3 lớp(18x18x20)</t>
  </si>
  <si>
    <t>0000169</t>
  </si>
  <si>
    <t>Thùng carton 3 lớp(28x18x26)</t>
  </si>
  <si>
    <t>Thùng carton 3 lớp(35x27x24)</t>
  </si>
  <si>
    <t>Hình 1060 bộ 2 cái(77,2x14,8)</t>
  </si>
  <si>
    <t>0000170</t>
  </si>
  <si>
    <t>Hình 1220 bộ 2 cái(77,2x16,5)</t>
  </si>
  <si>
    <t>Hình 1380bộ 2 cái(77,2x17,9)</t>
  </si>
  <si>
    <t>VAT hình</t>
  </si>
  <si>
    <t>Thùng carton 3 lớp(53x34,5x24,5)</t>
  </si>
  <si>
    <t>0000171</t>
  </si>
  <si>
    <t>Thùng carton 3 lớp(52x33x22)</t>
  </si>
  <si>
    <t>Thùng carton 5 lớp(57x42x32)</t>
  </si>
  <si>
    <t>0000172</t>
  </si>
  <si>
    <t>Thùng carton 5 lớp không in(60x35x30)</t>
  </si>
  <si>
    <t>0000173</t>
  </si>
  <si>
    <t>Cty Điên Lực TPHCM TNHH Cty Điện Lực Bình Phú</t>
  </si>
  <si>
    <t>Thùng carton 5 lớp không in(36x30x28)</t>
  </si>
  <si>
    <t>Thùng carton 5 lớp không in(50x40x37)</t>
  </si>
  <si>
    <t>Giấy 7 lớp(175x105)</t>
  </si>
  <si>
    <t>0000174</t>
  </si>
  <si>
    <t>Giấy 7 lớp(145x90)</t>
  </si>
  <si>
    <t>VAT  giấy</t>
  </si>
  <si>
    <t>Giấy 7 lớp(80x125)</t>
  </si>
  <si>
    <t>0000175</t>
  </si>
  <si>
    <t>Giấy 7 lớp(95x125)</t>
  </si>
  <si>
    <t>Giấy 7 lớp(95x145)</t>
  </si>
  <si>
    <t>0000176</t>
  </si>
  <si>
    <t>Giấy 7 lớp(110x195)</t>
  </si>
  <si>
    <t>0000177</t>
  </si>
  <si>
    <t>Thùng 3 lớp(52x26x26)</t>
  </si>
  <si>
    <t>0000178</t>
  </si>
  <si>
    <t>Thùng 3 lớp(52x28x28)</t>
  </si>
  <si>
    <t>0000179</t>
  </si>
  <si>
    <t>Thùng có in (66x23x30)</t>
  </si>
  <si>
    <t>0000180</t>
  </si>
  <si>
    <t>Cty CP SX TM Khai Thông</t>
  </si>
  <si>
    <t>Thùng bột tỏi (46,5x29,6x14)</t>
  </si>
  <si>
    <t>0000182</t>
  </si>
  <si>
    <t>0000183</t>
  </si>
  <si>
    <t>Cty TNHH TM SX 3K</t>
  </si>
  <si>
    <t>0000184</t>
  </si>
  <si>
    <t xml:space="preserve">Thùng carton (35x28x16) </t>
  </si>
  <si>
    <t>0000185</t>
  </si>
  <si>
    <t>Thùng carton (35x28x16)</t>
  </si>
  <si>
    <t>Thùng carton (31x27x12)</t>
  </si>
  <si>
    <t>Giấy tấm 7 lớp(480x100)</t>
  </si>
  <si>
    <t>0000186</t>
  </si>
  <si>
    <t>VAT giấy</t>
  </si>
  <si>
    <t>Thung carton(57x38x33)</t>
  </si>
  <si>
    <t>0000187</t>
  </si>
  <si>
    <t>Thung carton(43x29x19)</t>
  </si>
  <si>
    <t>Thung carton(43x29x20)</t>
  </si>
  <si>
    <t>Thùng carton có in PE (32x24,5x24,5)</t>
  </si>
  <si>
    <t>0000188</t>
  </si>
  <si>
    <t>Thùng carton 3 lớp(52x24x24)</t>
  </si>
  <si>
    <t>0000189</t>
  </si>
  <si>
    <t>Cty TNHH SX An Phú</t>
  </si>
  <si>
    <t>Thùng carton 3 lớp(52x27x27)</t>
  </si>
  <si>
    <t>0000190</t>
  </si>
  <si>
    <t>Thùng carton(21,5x21,5x52,5)</t>
  </si>
  <si>
    <t>0000191</t>
  </si>
  <si>
    <t>Thùng 24 lon (43x32x29)</t>
  </si>
  <si>
    <t>0000192</t>
  </si>
  <si>
    <t>Cty TNHH CB TP Việt Ý</t>
  </si>
  <si>
    <t>Thùng 12 lon(53x40x29)</t>
  </si>
  <si>
    <t>0000193</t>
  </si>
  <si>
    <t>0000194</t>
  </si>
  <si>
    <t>Thùng 3 lớp in 1 màu (52x26x26)</t>
  </si>
  <si>
    <t>0000195</t>
  </si>
  <si>
    <t>0000196</t>
  </si>
  <si>
    <t>0000197</t>
  </si>
  <si>
    <t>Thùng carton(57x38x33)</t>
  </si>
  <si>
    <t>0000199</t>
  </si>
  <si>
    <t>Thùng 3 lớp (41x26x11)</t>
  </si>
  <si>
    <t>0000200</t>
  </si>
  <si>
    <t>Thùng 5 lớp(35x28x16)</t>
  </si>
  <si>
    <t>Thùng 5 lớp(34x33,5x13)</t>
  </si>
  <si>
    <t>Thùng carton (32x26,5x26,3)</t>
  </si>
  <si>
    <t>0000201</t>
  </si>
  <si>
    <t>Thùng carton (62x51x29)</t>
  </si>
  <si>
    <t>Thùng carton (22,5x22,5x52)</t>
  </si>
  <si>
    <t>Thùng không in(51,5x27x27)</t>
  </si>
  <si>
    <t>0000202</t>
  </si>
  <si>
    <t>Thùng 3 lớp(52x21x31)</t>
  </si>
  <si>
    <t>0000203</t>
  </si>
  <si>
    <t>Thùng car 28(104x19,5x53)</t>
  </si>
  <si>
    <t>Thùng 5 lớp (33x23,5x13)</t>
  </si>
  <si>
    <t>0000205</t>
  </si>
  <si>
    <t>Thùng 3 lớp(22x22x51,5)</t>
  </si>
  <si>
    <t>0000206</t>
  </si>
  <si>
    <t>Thùng 3 lớp(51,5x28x28)</t>
  </si>
  <si>
    <t>Thùng 3 lớp(51,5x25,5x25,5)</t>
  </si>
  <si>
    <t>Thùng 3 lớp(51,5x31,5x21,5)</t>
  </si>
  <si>
    <t>Thùng 3 lớp(51,5x22x22)</t>
  </si>
  <si>
    <t>Thùng bột cari(46,5x29x16)</t>
  </si>
  <si>
    <t>0000207</t>
  </si>
  <si>
    <t>Thùng bột ớt(45,5x36,5x19)</t>
  </si>
  <si>
    <t>Thùng 5 lớp(91x10x63)</t>
  </si>
  <si>
    <t>0000208</t>
  </si>
  <si>
    <t>Thùng 3 lớp(87x59,3x7)</t>
  </si>
  <si>
    <t>Thùng carton(51x38x14)</t>
  </si>
  <si>
    <t>0000209</t>
  </si>
  <si>
    <t>0000210</t>
  </si>
  <si>
    <t>Cty TNHH Meng La</t>
  </si>
  <si>
    <t>0000211</t>
  </si>
  <si>
    <t>0000213</t>
  </si>
  <si>
    <t>Thùng Apolllo-YT4(40,5x26x42)</t>
  </si>
  <si>
    <t>0000214</t>
  </si>
  <si>
    <t>Thùng tech sys-YT4(41x26x12)</t>
  </si>
  <si>
    <t>0000215</t>
  </si>
  <si>
    <t>0000216</t>
  </si>
  <si>
    <t>0000217</t>
  </si>
  <si>
    <t>Thùng 3 lớp(52,5x34x24)</t>
  </si>
  <si>
    <t>Thùng carton(38x23x19)</t>
  </si>
  <si>
    <t>0000218</t>
  </si>
  <si>
    <t>Thùng bột gia vị (46,5x29,5x14)</t>
  </si>
  <si>
    <t>0000219</t>
  </si>
  <si>
    <t>Thùng carton 3 lớp (51,5x24,5x24,5)</t>
  </si>
  <si>
    <t>Thunng carton(51x38x14)</t>
  </si>
  <si>
    <t>0000221</t>
  </si>
  <si>
    <t>Thùng carton(57x36x33)</t>
  </si>
  <si>
    <t>0000222</t>
  </si>
  <si>
    <t>Thùng carton(43x29x20)</t>
  </si>
  <si>
    <t>Vỏ carton Emat Alpha (35x26,5x21)</t>
  </si>
  <si>
    <t>0000223</t>
  </si>
  <si>
    <t>Vỏ carton Emat Alpha (35x26,5x25)</t>
  </si>
  <si>
    <t>Vỏ carton Emat (35x26,5x25)</t>
  </si>
  <si>
    <t>Vỏ carton (35x26,5x21)</t>
  </si>
  <si>
    <t>Thung carton 5 lớp(51x38x14)</t>
  </si>
  <si>
    <t>0000224</t>
  </si>
  <si>
    <t>0000225</t>
  </si>
  <si>
    <t>Thùng hương liệu 4 cal(37,7x36,5x23,5)</t>
  </si>
  <si>
    <t>Thùng carton 3 lớp(55x28x22)</t>
  </si>
  <si>
    <t>0000226</t>
  </si>
  <si>
    <t>0000227</t>
  </si>
  <si>
    <t>Thùng bột ớt(45,5x29.5x14)</t>
  </si>
  <si>
    <t>0000228</t>
  </si>
  <si>
    <t>Thùng 5 lớp(29x30x61)</t>
  </si>
  <si>
    <t>0000229</t>
  </si>
  <si>
    <t>Thùng 5 lớp(35x29x31)</t>
  </si>
  <si>
    <t>Thùng 5 lớp(29x30x63)</t>
  </si>
  <si>
    <t>Thùng (36x31,5x11.5)</t>
  </si>
  <si>
    <t>0000230</t>
  </si>
  <si>
    <t>Thùng(36x22x12,5)</t>
  </si>
  <si>
    <t>0000231</t>
  </si>
  <si>
    <t>Thùng(36x31x11,5)</t>
  </si>
  <si>
    <t>Thùng(36x21x13)</t>
  </si>
  <si>
    <t>0000232</t>
  </si>
  <si>
    <t>0000233</t>
  </si>
  <si>
    <t>0000235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</si>
  <si>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</si>
  <si>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</si>
  <si>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</si>
  <si>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</si>
  <si>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Thùng đựng gói gaint 400g (55,5x33x21,5)</t>
  </si>
  <si>
    <t>0000237</t>
  </si>
  <si>
    <t>Thùng đựng hộp pro 400g(43,5x39,5x23,5)</t>
  </si>
  <si>
    <t>Thùng đựng lon gaint400g(41x32x29,5)</t>
  </si>
  <si>
    <t>Thùng gia vị các loại (48,5x29,5x14)</t>
  </si>
  <si>
    <t>0000238</t>
  </si>
  <si>
    <t>0000239</t>
  </si>
  <si>
    <t>Thùng bột tỏi(46,5x29,5x14)</t>
  </si>
  <si>
    <t>Thùng (40,5x26x12)</t>
  </si>
  <si>
    <t>0000241</t>
  </si>
  <si>
    <t>Thùng (41x26x12)</t>
  </si>
  <si>
    <t>Thùng carton 5 lớp(63x38x15)</t>
  </si>
  <si>
    <t>0000242</t>
  </si>
  <si>
    <t>Thùng carton (38x23x19)</t>
  </si>
  <si>
    <t>0000243</t>
  </si>
  <si>
    <t>Thùng carton 3 lớp (55x28x22)</t>
  </si>
  <si>
    <t>0000244</t>
  </si>
  <si>
    <t>0000245</t>
  </si>
  <si>
    <t>Thùng carton(46x23x38)</t>
  </si>
  <si>
    <t>Thùng carton(55x45x29)</t>
  </si>
  <si>
    <t>0000246</t>
  </si>
  <si>
    <t>Thùng carton (52x24,5x24,5)</t>
  </si>
  <si>
    <t>Thùng carton(50x25x36)</t>
  </si>
  <si>
    <t>Thùng carton (48x40x29)</t>
  </si>
  <si>
    <t>Thùng gia vị các loại (46,5x29,5x14)</t>
  </si>
  <si>
    <t>0000247</t>
  </si>
  <si>
    <t>Thùng Neri canxilon 900g</t>
  </si>
  <si>
    <t>0000248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</si>
  <si>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</si>
  <si>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</si>
  <si>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</si>
  <si>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</si>
  <si>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</si>
  <si>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0000249</t>
  </si>
  <si>
    <t>0000250</t>
  </si>
  <si>
    <t>Thùng bột ớt (45,5x36,5x49)</t>
  </si>
  <si>
    <t>Thùng carton 5 lớp(51x38x14)</t>
  </si>
  <si>
    <t>0000251</t>
  </si>
  <si>
    <t>0000252</t>
  </si>
  <si>
    <t>Thùng 5 lớp(40,5x25x44)</t>
  </si>
  <si>
    <t>Thùng 3 lớp(29x30x63)</t>
  </si>
  <si>
    <t>0000253</t>
  </si>
  <si>
    <t>Thung carton 5 lớp(39x24x23)</t>
  </si>
  <si>
    <t>0000254</t>
  </si>
  <si>
    <t>Thung carton 5 lớp(38x23x23</t>
  </si>
  <si>
    <t>Thung carton 5 lớp(33x22x23)</t>
  </si>
  <si>
    <t>0000255</t>
  </si>
  <si>
    <t>Thùng (41x26x11)</t>
  </si>
  <si>
    <t>0000256</t>
  </si>
  <si>
    <t>Thùng (41x26x13)</t>
  </si>
  <si>
    <t>Thùng(35x28x16)</t>
  </si>
  <si>
    <t>Thùng(40x33,5x13)</t>
  </si>
  <si>
    <t>Thùng(33x23,5x13)</t>
  </si>
  <si>
    <t>0000257</t>
  </si>
  <si>
    <t>Thùng(41x26x12)</t>
  </si>
  <si>
    <t>Thùng(40,5x26x12)</t>
  </si>
  <si>
    <t>Tấm lót (96x92)</t>
  </si>
  <si>
    <t>Thùng meli canxi hop</t>
  </si>
  <si>
    <t>0000258</t>
  </si>
  <si>
    <t>Cty CP TPDD Sao Phương Nam</t>
  </si>
  <si>
    <t>0000259</t>
  </si>
  <si>
    <t>Thùng carton 5 lớp (65x47x26)</t>
  </si>
  <si>
    <t>0000260</t>
  </si>
  <si>
    <t>Cty TNHH TNDV SX May Mặc XNK Xuân Mai</t>
  </si>
  <si>
    <t>Thùng carton 5 lớp(65x47x40)</t>
  </si>
  <si>
    <t>0000261</t>
  </si>
  <si>
    <t>Cty CP Cơ Điện Tân Hoàn Cầu</t>
  </si>
  <si>
    <t>Thùng vây cá hồi(40x20,5x29)</t>
  </si>
  <si>
    <t>Cty TNHH CN-TM Phước Bình</t>
  </si>
  <si>
    <t>142</t>
  </si>
  <si>
    <t>Chi phí trả trước ngắn hạn</t>
  </si>
  <si>
    <t>BẢNG TÍNH GIÁ THÀNH SP QUÝ I/2011</t>
  </si>
  <si>
    <t>CP Lương</t>
  </si>
  <si>
    <t>CP Mực in</t>
  </si>
  <si>
    <t>CP trả trước ngắn hạn</t>
  </si>
  <si>
    <t>BẢNG TÍNH GIÁ THÀNH SP QUÝ II/2011</t>
  </si>
  <si>
    <t>Bản in cao su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</si>
  <si>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</si>
  <si>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</si>
  <si>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</si>
  <si>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</si>
  <si>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</si>
  <si>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</si>
  <si>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Ngày 31 tháng 12 Năm 2012</t>
  </si>
  <si>
    <t>Ngày mở sổ: 01/01/2012</t>
  </si>
  <si>
    <t>06/2011</t>
  </si>
  <si>
    <t>07/2011</t>
  </si>
  <si>
    <t>Trích khấu hao TSCĐ Hữu hình</t>
  </si>
  <si>
    <t>Phân bổ chi phí trả trước ngắn hạn</t>
  </si>
  <si>
    <t>Tiền lương BP Phân Xưởng &amp; CN</t>
  </si>
  <si>
    <t>NĂM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</si>
</sst>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-* #,##0.00\ _₫_-;\-* #,##0.00\ _₫_-;_-* &quot;-&quot;??\ _₫_-;_-@_-"/>
    <numFmt numFmtId="175" formatCode="_-* #,##0\ _₫_-;\-* #,##0\ _₫_-;_-* &quot;-&quot;??\ _₫_-;_-@_-"/>
  </numFmts>
  <fonts count="10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theme="1"/>
      <name val="Times New Roman"/>
      <family val="1"/>
    </font>
    <font>
      <sz val="10"/>
      <color theme="5" tint="-0.249977111117893"/>
      <name val="Times New Roman"/>
      <family val="1"/>
    </font>
    <font>
      <sz val="10"/>
      <color indexed="6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3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4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4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5" fontId="39" fillId="0" borderId="2" xfId="29" applyNumberFormat="1" applyFont="1" applyBorder="1" applyAlignment="1">
      <alignment vertical="center"/>
    </xf>
    <xf numFmtId="174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44" fillId="0" borderId="16" xfId="90" applyNumberFormat="1" applyFont="1" applyFill="1" applyBorder="1" applyAlignment="1">
      <alignment horizontal="center" vertical="center"/>
    </xf>
    <xf numFmtId="164" fontId="44" fillId="0" borderId="16" xfId="90" applyNumberFormat="1" applyFont="1" applyFill="1" applyBorder="1" applyAlignment="1">
      <alignment horizontal="left" vertical="center"/>
    </xf>
    <xf numFmtId="164" fontId="44" fillId="0" borderId="16" xfId="90" quotePrefix="1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vertical="center"/>
    </xf>
    <xf numFmtId="14" fontId="84" fillId="0" borderId="16" xfId="54" applyNumberFormat="1" applyFont="1" applyFill="1" applyBorder="1" applyAlignment="1">
      <alignment horizontal="center" vertical="center"/>
    </xf>
    <xf numFmtId="164" fontId="99" fillId="0" borderId="16" xfId="0" quotePrefix="1" applyNumberFormat="1" applyFont="1" applyFill="1" applyBorder="1" applyAlignment="1">
      <alignment horizontal="left" vertical="center"/>
    </xf>
    <xf numFmtId="164" fontId="100" fillId="0" borderId="16" xfId="29" applyNumberFormat="1" applyFont="1" applyFill="1" applyBorder="1" applyAlignment="1">
      <alignment horizontal="left" vertical="center"/>
    </xf>
    <xf numFmtId="164" fontId="99" fillId="0" borderId="16" xfId="54" applyNumberFormat="1" applyFont="1" applyFill="1" applyBorder="1" applyAlignment="1">
      <alignment horizontal="left" vertical="center"/>
    </xf>
    <xf numFmtId="164" fontId="99" fillId="0" borderId="16" xfId="54" quotePrefix="1" applyNumberFormat="1" applyFont="1" applyFill="1" applyBorder="1" applyAlignment="1">
      <alignment horizontal="left" vertical="center"/>
    </xf>
    <xf numFmtId="14" fontId="99" fillId="0" borderId="16" xfId="54" applyNumberFormat="1" applyFont="1" applyFill="1" applyBorder="1" applyAlignment="1">
      <alignment horizontal="center" vertical="center"/>
    </xf>
    <xf numFmtId="164" fontId="99" fillId="0" borderId="16" xfId="29" applyNumberFormat="1" applyFont="1" applyFill="1" applyBorder="1" applyAlignment="1">
      <alignment horizontal="left" vertical="center"/>
    </xf>
    <xf numFmtId="14" fontId="101" fillId="0" borderId="16" xfId="54" applyNumberFormat="1" applyFont="1" applyFill="1" applyBorder="1" applyAlignment="1">
      <alignment horizontal="center" vertical="center"/>
    </xf>
    <xf numFmtId="164" fontId="101" fillId="0" borderId="16" xfId="54" applyNumberFormat="1" applyFont="1" applyFill="1" applyBorder="1" applyAlignment="1">
      <alignment horizontal="left" vertical="center"/>
    </xf>
    <xf numFmtId="49" fontId="44" fillId="0" borderId="16" xfId="90" applyNumberFormat="1" applyFont="1" applyFill="1" applyBorder="1" applyAlignment="1">
      <alignment horizontal="left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90" applyNumberFormat="1" applyFont="1" applyFill="1" applyBorder="1" applyAlignment="1">
      <alignment horizontal="left" vertical="center"/>
    </xf>
    <xf numFmtId="164" fontId="80" fillId="0" borderId="16" xfId="0" quotePrefix="1" applyNumberFormat="1" applyFont="1" applyFill="1" applyBorder="1" applyAlignment="1">
      <alignment horizontal="left"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left" vertical="center"/>
    </xf>
    <xf numFmtId="0" fontId="69" fillId="0" borderId="0" xfId="93" applyFont="1" applyAlignment="1">
      <alignment horizontal="center" vertical="center"/>
    </xf>
    <xf numFmtId="14" fontId="34" fillId="0" borderId="39" xfId="29" applyNumberFormat="1" applyFont="1" applyBorder="1" applyAlignment="1">
      <alignment horizont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5" xfId="93" applyFont="1" applyFill="1" applyBorder="1" applyAlignment="1">
      <alignment horizontal="left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3" xfId="52" quotePrefix="1" applyFont="1" applyBorder="1" applyAlignment="1">
      <alignment horizontal="left" vertical="center"/>
    </xf>
    <xf numFmtId="0" fontId="39" fillId="0" borderId="54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Cty CP Thực Phẩm Dinh Dưỡng Hoàng Trung Kha</v>
          </cell>
        </row>
        <row r="5">
          <cell r="B5" t="str">
            <v>Cty CP Tuấn Ân Long An</v>
          </cell>
        </row>
        <row r="6">
          <cell r="B6" t="str">
            <v>Cty CP XNK Dầu Nhờn Hà Nội</v>
          </cell>
        </row>
        <row r="7">
          <cell r="B7" t="str">
            <v>Cty TNHH Cao Nghệ Vina</v>
          </cell>
        </row>
        <row r="8">
          <cell r="B8" t="str">
            <v>Cty TNHH Nhựa Hưng Phú</v>
          </cell>
        </row>
        <row r="9">
          <cell r="B9" t="str">
            <v>Cty TNHH Tân Hải Hòa</v>
          </cell>
        </row>
        <row r="10">
          <cell r="B10" t="str">
            <v>Cty TNHH SX TM DV Natural Rendez - Vous</v>
          </cell>
        </row>
        <row r="11">
          <cell r="B11" t="str">
            <v>Cty TNHH TM &amp; Bao Bì Sài Gòn</v>
          </cell>
        </row>
        <row r="12">
          <cell r="B12" t="str">
            <v>Cty TNHH Đầu Tư Phương My</v>
          </cell>
        </row>
        <row r="13">
          <cell r="B13" t="str">
            <v>Cty CP TP QT Long Phụng</v>
          </cell>
        </row>
        <row r="14">
          <cell r="B14" t="str">
            <v>Cty Liên Doanh Wufeng VN</v>
          </cell>
        </row>
        <row r="15">
          <cell r="B15" t="str">
            <v>Cty TNHH Bao Bì Uy Tín</v>
          </cell>
        </row>
        <row r="16">
          <cell r="B16" t="str">
            <v>Cty CP Đại Đồng Tiến</v>
          </cell>
        </row>
        <row r="17">
          <cell r="B17" t="str">
            <v>Cty TNHH CN Cau Su - Nhựa Độc Lập</v>
          </cell>
        </row>
        <row r="18">
          <cell r="B18" t="str">
            <v>Cty TNHH TM DV SX May Mặc XNK Xuân Mai</v>
          </cell>
        </row>
        <row r="19">
          <cell r="B19"/>
        </row>
        <row r="20">
          <cell r="B20"/>
        </row>
        <row r="21">
          <cell r="B21"/>
        </row>
        <row r="22">
          <cell r="B22"/>
        </row>
        <row r="23">
          <cell r="B23"/>
        </row>
        <row r="24">
          <cell r="B24"/>
        </row>
        <row r="25">
          <cell r="B25"/>
        </row>
        <row r="26">
          <cell r="B2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Sheet2"/>
    </sheetNames>
    <sheetDataSet>
      <sheetData sheetId="0"/>
      <sheetData sheetId="1">
        <row r="1">
          <cell r="A1" t="str">
            <v>Đơn vị: CÔNG TY TNHH HẢI SẢN AN LẠC</v>
          </cell>
        </row>
        <row r="2">
          <cell r="A2" t="str">
            <v>Địa chỉ: Lô A14, Đường 4A, KCN Hải Sơn, Đức Hòa, Long An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40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7.42578125" style="805" customWidth="1"/>
    <col min="2" max="2" width="43" style="805" customWidth="1"/>
    <col min="3" max="3" width="14.5703125" style="169" customWidth="1"/>
    <col min="4" max="4" width="13.5703125" style="169" customWidth="1"/>
    <col min="5" max="5" width="15.140625" style="805" customWidth="1"/>
    <col min="6" max="6" width="17.28515625" style="805" customWidth="1"/>
    <col min="7" max="7" width="13.85546875" style="805" customWidth="1"/>
    <col min="8" max="8" width="14.7109375" style="805" customWidth="1"/>
    <col min="9" max="9" width="2.42578125" style="805" customWidth="1"/>
    <col min="10" max="10" width="9.5703125" style="805" customWidth="1"/>
    <col min="11" max="11" width="2.85546875" style="805" customWidth="1"/>
    <col min="12" max="16384" width="8" style="805"/>
  </cols>
  <sheetData>
    <row r="1" spans="1:15">
      <c r="A1" s="804"/>
      <c r="B1" s="804"/>
    </row>
    <row r="2" spans="1:15">
      <c r="A2" s="804" t="str">
        <f>TH!A1</f>
        <v>Đơn vị: CÔNG TY TNHH HẢI SẢN AN LẠC</v>
      </c>
      <c r="B2" s="804"/>
    </row>
    <row r="3" spans="1:15">
      <c r="A3" s="805" t="str">
        <f>TH!A2</f>
        <v>Địa chỉ: Lô A14, Đường 4A, KCN Hải Sơn, Đức Hòa, Long An</v>
      </c>
      <c r="B3" s="804"/>
    </row>
    <row r="5" spans="1:15" ht="36" customHeight="1">
      <c r="A5" s="806"/>
      <c r="B5" s="806"/>
      <c r="C5" s="807"/>
      <c r="D5" s="808" t="s">
        <v>450</v>
      </c>
      <c r="E5" s="806"/>
      <c r="F5" s="806"/>
      <c r="G5" s="806"/>
      <c r="H5" s="806"/>
    </row>
    <row r="6" spans="1:15" ht="15.75">
      <c r="A6" s="806"/>
      <c r="B6" s="806"/>
      <c r="C6" s="807"/>
      <c r="D6" s="832" t="s">
        <v>1575</v>
      </c>
      <c r="E6" s="806"/>
      <c r="F6" s="806"/>
      <c r="G6" s="806"/>
      <c r="H6" s="806"/>
    </row>
    <row r="7" spans="1:15" ht="6.75" customHeight="1">
      <c r="J7" s="836"/>
      <c r="K7" s="836"/>
      <c r="L7" s="836"/>
      <c r="M7" s="836"/>
      <c r="N7" s="836"/>
      <c r="O7" s="836"/>
    </row>
    <row r="8" spans="1:15" ht="24.75" customHeight="1" thickBot="1">
      <c r="A8" s="927" t="s">
        <v>448</v>
      </c>
      <c r="B8" s="927" t="s">
        <v>447</v>
      </c>
      <c r="C8" s="922" t="s">
        <v>37</v>
      </c>
      <c r="D8" s="923"/>
      <c r="E8" s="922" t="s">
        <v>38</v>
      </c>
      <c r="F8" s="923"/>
      <c r="G8" s="922" t="s">
        <v>449</v>
      </c>
      <c r="H8" s="923"/>
      <c r="K8" s="837"/>
      <c r="L8" s="837"/>
      <c r="M8" s="924" t="s">
        <v>399</v>
      </c>
      <c r="N8" s="924"/>
      <c r="O8" s="836"/>
    </row>
    <row r="9" spans="1:15" ht="24.75" customHeight="1" thickBot="1">
      <c r="A9" s="928"/>
      <c r="B9" s="928"/>
      <c r="C9" s="803" t="s">
        <v>43</v>
      </c>
      <c r="D9" s="803" t="s">
        <v>44</v>
      </c>
      <c r="E9" s="803" t="s">
        <v>43</v>
      </c>
      <c r="F9" s="803" t="s">
        <v>44</v>
      </c>
      <c r="G9" s="803" t="s">
        <v>43</v>
      </c>
      <c r="H9" s="803" t="s">
        <v>44</v>
      </c>
      <c r="J9" s="185" t="s">
        <v>400</v>
      </c>
      <c r="K9" s="837"/>
      <c r="L9" s="838"/>
      <c r="M9" s="799">
        <f>IF(J9="Quý I",1,IF(J9="Quý II",4,IF(J9="Quý III",7,IF(J9="Quý IV",10,""))))</f>
        <v>1</v>
      </c>
      <c r="N9" s="799">
        <f>IF(J9="Quý I",3,IF(J9="Quý II",6,IF(J9="Quý III",9,IF(J9="Quý IV",12,""))))</f>
        <v>3</v>
      </c>
      <c r="O9" s="836"/>
    </row>
    <row r="10" spans="1:15" s="169" customFormat="1" ht="17.25" customHeight="1">
      <c r="A10" s="809" t="s">
        <v>49</v>
      </c>
      <c r="B10" s="810" t="s">
        <v>50</v>
      </c>
      <c r="C10" s="811">
        <v>1633552663</v>
      </c>
      <c r="D10" s="811"/>
      <c r="E10" s="811">
        <f t="array" ref="E10">SUM(IF(A10=KHN,TH))</f>
        <v>1148788492</v>
      </c>
      <c r="F10" s="811">
        <f t="array" ref="F10">SUM(IF(A10=KHC,TH))</f>
        <v>800642448</v>
      </c>
      <c r="G10" s="812">
        <f>MAX(C10+E10-D10-F10,0)</f>
        <v>1981698707</v>
      </c>
      <c r="H10" s="812">
        <f>MAX(D10+F10-E10-C10,0)</f>
        <v>0</v>
      </c>
      <c r="J10" s="835"/>
      <c r="K10" s="835"/>
      <c r="L10" s="835"/>
      <c r="M10" s="835"/>
      <c r="N10" s="835"/>
      <c r="O10" s="835"/>
    </row>
    <row r="11" spans="1:15" s="169" customFormat="1" ht="17.25" customHeight="1">
      <c r="A11" s="814" t="s">
        <v>16</v>
      </c>
      <c r="B11" s="814" t="s">
        <v>51</v>
      </c>
      <c r="C11" s="815">
        <f t="shared" ref="C11:H11" si="0">C10</f>
        <v>1633552663</v>
      </c>
      <c r="D11" s="815">
        <f t="shared" si="0"/>
        <v>0</v>
      </c>
      <c r="E11" s="815">
        <f t="shared" si="0"/>
        <v>1148788492</v>
      </c>
      <c r="F11" s="815">
        <f t="shared" si="0"/>
        <v>800642448</v>
      </c>
      <c r="G11" s="815">
        <f t="shared" si="0"/>
        <v>1981698707</v>
      </c>
      <c r="H11" s="815">
        <f t="shared" si="0"/>
        <v>0</v>
      </c>
      <c r="J11" s="835"/>
      <c r="K11" s="835"/>
      <c r="L11" s="835"/>
      <c r="M11" s="835"/>
      <c r="N11" s="835"/>
      <c r="O11" s="835"/>
    </row>
    <row r="12" spans="1:15" s="169" customFormat="1" ht="17.25" customHeight="1">
      <c r="A12" s="810" t="s">
        <v>24</v>
      </c>
      <c r="B12" s="810" t="s">
        <v>52</v>
      </c>
      <c r="C12" s="811">
        <v>20452439</v>
      </c>
      <c r="D12" s="811">
        <v>0</v>
      </c>
      <c r="E12" s="811">
        <f t="array" ref="E12">SUM(IF(A12=KHN,TH))</f>
        <v>2399086856</v>
      </c>
      <c r="F12" s="811">
        <f t="array" ref="F12">SUM(IF(A12=KHC,TH))</f>
        <v>2419204362</v>
      </c>
      <c r="G12" s="812">
        <f>MAX(C12+E12-D12-F12,0)</f>
        <v>334933</v>
      </c>
      <c r="H12" s="812">
        <f>MAX(D12+F12-E12-C12,0)</f>
        <v>0</v>
      </c>
      <c r="K12" s="813"/>
      <c r="L12" s="813"/>
      <c r="M12" s="813"/>
    </row>
    <row r="13" spans="1:15" s="169" customFormat="1" ht="17.25" customHeight="1">
      <c r="A13" s="814" t="s">
        <v>53</v>
      </c>
      <c r="B13" s="814" t="s">
        <v>54</v>
      </c>
      <c r="C13" s="815">
        <f t="shared" ref="C13:H13" si="1">C12</f>
        <v>20452439</v>
      </c>
      <c r="D13" s="815">
        <f t="shared" si="1"/>
        <v>0</v>
      </c>
      <c r="E13" s="815">
        <f t="shared" si="1"/>
        <v>2399086856</v>
      </c>
      <c r="F13" s="815">
        <f t="shared" si="1"/>
        <v>2419204362</v>
      </c>
      <c r="G13" s="815">
        <f t="shared" si="1"/>
        <v>334933</v>
      </c>
      <c r="H13" s="815">
        <f t="shared" si="1"/>
        <v>0</v>
      </c>
    </row>
    <row r="14" spans="1:15" s="169" customFormat="1" ht="17.25" customHeight="1">
      <c r="A14" s="814" t="s">
        <v>311</v>
      </c>
      <c r="B14" s="814" t="s">
        <v>335</v>
      </c>
      <c r="C14" s="815"/>
      <c r="D14" s="815"/>
      <c r="E14" s="816">
        <f t="array" ref="E14">SUM(IF(A14=KHN,TH))</f>
        <v>1108840240</v>
      </c>
      <c r="F14" s="816">
        <f t="array" ref="F14">SUM(IF(A14=KHC,TH))</f>
        <v>1664685138</v>
      </c>
      <c r="G14" s="815">
        <f>MAX(C14+E14-D14-F14,0)</f>
        <v>0</v>
      </c>
      <c r="H14" s="815">
        <f>MAX(D14+F14-E14-C14,0)</f>
        <v>555844898</v>
      </c>
    </row>
    <row r="15" spans="1:15" s="169" customFormat="1" ht="17.25" customHeight="1">
      <c r="A15" s="810" t="s">
        <v>9</v>
      </c>
      <c r="B15" s="810" t="s">
        <v>55</v>
      </c>
      <c r="C15" s="811"/>
      <c r="D15" s="811"/>
      <c r="E15" s="811">
        <f t="array" ref="E15">SUM(IF(A15=KHN,TH))</f>
        <v>267365417</v>
      </c>
      <c r="F15" s="811">
        <f t="array" ref="F15">SUM(IF(A15=KHC,TH))</f>
        <v>154594781</v>
      </c>
      <c r="G15" s="812">
        <f>MAX(C15+E15-D15-F15,0)</f>
        <v>112770636</v>
      </c>
      <c r="H15" s="812">
        <f>MAX(D15+F15-E15-C15,0)</f>
        <v>0</v>
      </c>
    </row>
    <row r="16" spans="1:15" s="169" customFormat="1" ht="17.25" customHeight="1">
      <c r="A16" s="814" t="s">
        <v>56</v>
      </c>
      <c r="B16" s="814" t="s">
        <v>57</v>
      </c>
      <c r="C16" s="815">
        <f t="shared" ref="C16:H16" si="2">C15</f>
        <v>0</v>
      </c>
      <c r="D16" s="815">
        <f t="shared" si="2"/>
        <v>0</v>
      </c>
      <c r="E16" s="815">
        <f t="shared" si="2"/>
        <v>267365417</v>
      </c>
      <c r="F16" s="815">
        <f t="shared" si="2"/>
        <v>154594781</v>
      </c>
      <c r="G16" s="815">
        <f t="shared" si="2"/>
        <v>112770636</v>
      </c>
      <c r="H16" s="815">
        <f t="shared" si="2"/>
        <v>0</v>
      </c>
    </row>
    <row r="17" spans="1:8" s="169" customFormat="1" ht="17.25" customHeight="1">
      <c r="A17" s="810" t="s">
        <v>58</v>
      </c>
      <c r="B17" s="810" t="s">
        <v>59</v>
      </c>
      <c r="C17" s="811"/>
      <c r="D17" s="811"/>
      <c r="E17" s="811">
        <f t="array" ref="E17">SUM(IF(A17=KHN,TH))</f>
        <v>0</v>
      </c>
      <c r="F17" s="811">
        <f t="array" ref="F17">SUM(IF(A17=KHC,TH))</f>
        <v>0</v>
      </c>
      <c r="G17" s="812">
        <f t="shared" ref="G17:G39" si="3">MAX(C17+E17-D17-F17,0)</f>
        <v>0</v>
      </c>
      <c r="H17" s="812">
        <f t="shared" ref="H17:H39" si="4">MAX(D17+F17-E17-C17,0)</f>
        <v>0</v>
      </c>
    </row>
    <row r="18" spans="1:8" s="169" customFormat="1" ht="17.25" customHeight="1">
      <c r="A18" s="814" t="s">
        <v>60</v>
      </c>
      <c r="B18" s="814" t="s">
        <v>61</v>
      </c>
      <c r="C18" s="815">
        <f>C17</f>
        <v>0</v>
      </c>
      <c r="D18" s="815">
        <f>D17</f>
        <v>0</v>
      </c>
      <c r="E18" s="815">
        <f>E17</f>
        <v>0</v>
      </c>
      <c r="F18" s="815">
        <f>F17</f>
        <v>0</v>
      </c>
      <c r="G18" s="815">
        <f t="shared" si="3"/>
        <v>0</v>
      </c>
      <c r="H18" s="815">
        <f t="shared" si="4"/>
        <v>0</v>
      </c>
    </row>
    <row r="19" spans="1:8" s="169" customFormat="1" ht="17.25" customHeight="1">
      <c r="A19" s="823" t="s">
        <v>1554</v>
      </c>
      <c r="B19" s="814" t="s">
        <v>1555</v>
      </c>
      <c r="C19" s="815">
        <v>4566819</v>
      </c>
      <c r="D19" s="815"/>
      <c r="E19" s="816">
        <f t="array" ref="E19">SUM(IF(A19=KHN,TH))</f>
        <v>5200000</v>
      </c>
      <c r="F19" s="816">
        <f t="array" ref="F19">SUM(IF(A19=KHC,TH))</f>
        <v>7416819</v>
      </c>
      <c r="G19" s="815">
        <f t="shared" ref="G19" si="5">MAX(C19+E19-D19-F19,0)</f>
        <v>2350000</v>
      </c>
      <c r="H19" s="815">
        <f t="shared" ref="H19" si="6">MAX(D19+F19-E19-C19,0)</f>
        <v>0</v>
      </c>
    </row>
    <row r="20" spans="1:8" s="169" customFormat="1" ht="17.25" customHeight="1">
      <c r="A20" s="810" t="s">
        <v>186</v>
      </c>
      <c r="B20" s="810" t="s">
        <v>187</v>
      </c>
      <c r="C20" s="811"/>
      <c r="D20" s="811"/>
      <c r="E20" s="811">
        <f t="array" ref="E20">SUM(IF(A20=KHN,TH))</f>
        <v>2465538784</v>
      </c>
      <c r="F20" s="811">
        <f t="array" ref="F20">SUM(IF(A20=KHC,TH))</f>
        <v>0</v>
      </c>
      <c r="G20" s="812">
        <f t="shared" si="3"/>
        <v>2465538784</v>
      </c>
      <c r="H20" s="812">
        <f t="shared" si="4"/>
        <v>0</v>
      </c>
    </row>
    <row r="21" spans="1:8" s="169" customFormat="1" ht="17.25" customHeight="1">
      <c r="A21" s="810" t="s">
        <v>188</v>
      </c>
      <c r="B21" s="810" t="s">
        <v>189</v>
      </c>
      <c r="C21" s="811"/>
      <c r="D21" s="811"/>
      <c r="E21" s="811">
        <f t="array" ref="E21">SUM(IF(A21=KHN,TH))</f>
        <v>41070250</v>
      </c>
      <c r="F21" s="811">
        <f t="array" ref="F21">SUM(IF(A21=KHC,TH))</f>
        <v>0</v>
      </c>
      <c r="G21" s="811">
        <f t="shared" si="3"/>
        <v>41070250</v>
      </c>
      <c r="H21" s="811">
        <f t="shared" si="4"/>
        <v>0</v>
      </c>
    </row>
    <row r="22" spans="1:8" s="169" customFormat="1" ht="17.25" customHeight="1">
      <c r="A22" s="814" t="s">
        <v>190</v>
      </c>
      <c r="B22" s="814" t="s">
        <v>191</v>
      </c>
      <c r="C22" s="815">
        <f>C20+C21</f>
        <v>0</v>
      </c>
      <c r="D22" s="815">
        <f>D20+D21</f>
        <v>0</v>
      </c>
      <c r="E22" s="815">
        <f>E20+E21</f>
        <v>2506609034</v>
      </c>
      <c r="F22" s="815">
        <f>F20+F21</f>
        <v>0</v>
      </c>
      <c r="G22" s="815">
        <f t="shared" si="3"/>
        <v>2506609034</v>
      </c>
      <c r="H22" s="815">
        <f t="shared" si="4"/>
        <v>0</v>
      </c>
    </row>
    <row r="23" spans="1:8" s="169" customFormat="1" ht="17.25" customHeight="1">
      <c r="A23" s="814" t="s">
        <v>192</v>
      </c>
      <c r="B23" s="814" t="s">
        <v>193</v>
      </c>
      <c r="C23" s="815"/>
      <c r="D23" s="815">
        <v>0</v>
      </c>
      <c r="E23" s="816">
        <f t="array" ref="E23">SUM(IF(A23=KHN,TH))</f>
        <v>0</v>
      </c>
      <c r="F23" s="816">
        <f t="array" ref="F23">SUM(IF(A23=KHC,TH))</f>
        <v>0</v>
      </c>
      <c r="G23" s="815">
        <f t="shared" si="3"/>
        <v>0</v>
      </c>
      <c r="H23" s="815">
        <f t="shared" si="4"/>
        <v>0</v>
      </c>
    </row>
    <row r="24" spans="1:8" s="169" customFormat="1" ht="17.25" customHeight="1">
      <c r="A24" s="814" t="s">
        <v>194</v>
      </c>
      <c r="B24" s="814" t="s">
        <v>195</v>
      </c>
      <c r="C24" s="815"/>
      <c r="D24" s="815">
        <v>0</v>
      </c>
      <c r="E24" s="816">
        <f t="array" ref="E24">SUM(IF(A24=KHN,TH))</f>
        <v>173632662</v>
      </c>
      <c r="F24" s="816">
        <f t="array" ref="F24">SUM(IF(A24=KHC,TH))</f>
        <v>0</v>
      </c>
      <c r="G24" s="815">
        <f t="shared" si="3"/>
        <v>173632662</v>
      </c>
      <c r="H24" s="815">
        <f t="shared" si="4"/>
        <v>0</v>
      </c>
    </row>
    <row r="25" spans="1:8" s="169" customFormat="1" ht="17.25" customHeight="1">
      <c r="A25" s="814" t="s">
        <v>196</v>
      </c>
      <c r="B25" s="814" t="s">
        <v>197</v>
      </c>
      <c r="C25" s="815"/>
      <c r="D25" s="815"/>
      <c r="E25" s="816">
        <f t="array" ref="E25">SUM(IF(A25=KHN,TH))</f>
        <v>0</v>
      </c>
      <c r="F25" s="816">
        <f t="array" ref="F25">SUM(IF(A25=KHC,TH))</f>
        <v>0</v>
      </c>
      <c r="G25" s="815">
        <f t="shared" si="3"/>
        <v>0</v>
      </c>
      <c r="H25" s="815">
        <f t="shared" si="4"/>
        <v>0</v>
      </c>
    </row>
    <row r="26" spans="1:8" s="169" customFormat="1" ht="17.25" customHeight="1">
      <c r="A26" s="817" t="s">
        <v>198</v>
      </c>
      <c r="B26" s="818" t="s">
        <v>199</v>
      </c>
      <c r="C26" s="819"/>
      <c r="D26" s="819"/>
      <c r="E26" s="811">
        <f t="array" ref="E26">SUM(IF(A26=KHN,TH))</f>
        <v>0</v>
      </c>
      <c r="F26" s="811">
        <f t="array" ref="F26">SUM(IF(A26=KHC,TH))</f>
        <v>0</v>
      </c>
      <c r="G26" s="819">
        <f t="shared" si="3"/>
        <v>0</v>
      </c>
      <c r="H26" s="819">
        <f t="shared" si="4"/>
        <v>0</v>
      </c>
    </row>
    <row r="27" spans="1:8" s="169" customFormat="1" ht="17.25" customHeight="1">
      <c r="A27" s="820" t="s">
        <v>200</v>
      </c>
      <c r="B27" s="821" t="s">
        <v>201</v>
      </c>
      <c r="C27" s="822"/>
      <c r="D27" s="822"/>
      <c r="E27" s="811">
        <f t="array" ref="E27">SUM(IF(A27=KHN,TH))</f>
        <v>0</v>
      </c>
      <c r="F27" s="811">
        <f t="array" ref="F27">SUM(IF(A27=KHC,TH))</f>
        <v>0</v>
      </c>
      <c r="G27" s="822">
        <f t="shared" si="3"/>
        <v>0</v>
      </c>
      <c r="H27" s="822">
        <f t="shared" si="4"/>
        <v>0</v>
      </c>
    </row>
    <row r="28" spans="1:8" s="169" customFormat="1" ht="17.25" customHeight="1">
      <c r="A28" s="820" t="s">
        <v>202</v>
      </c>
      <c r="B28" s="821" t="s">
        <v>203</v>
      </c>
      <c r="C28" s="822"/>
      <c r="D28" s="822"/>
      <c r="E28" s="811">
        <f t="array" ref="E28">SUM(IF(A28=KHN,TH))</f>
        <v>0</v>
      </c>
      <c r="F28" s="811">
        <f t="array" ref="F28">SUM(IF(A28=KHC,TH))</f>
        <v>0</v>
      </c>
      <c r="G28" s="822">
        <f t="shared" si="3"/>
        <v>0</v>
      </c>
      <c r="H28" s="822">
        <f t="shared" si="4"/>
        <v>0</v>
      </c>
    </row>
    <row r="29" spans="1:8" s="169" customFormat="1" ht="17.25" customHeight="1">
      <c r="A29" s="814" t="s">
        <v>204</v>
      </c>
      <c r="B29" s="814" t="s">
        <v>205</v>
      </c>
      <c r="C29" s="815">
        <f t="shared" ref="C29:H29" si="7">SUM(C26:C28)</f>
        <v>0</v>
      </c>
      <c r="D29" s="815">
        <f t="shared" si="7"/>
        <v>0</v>
      </c>
      <c r="E29" s="815">
        <f t="shared" si="7"/>
        <v>0</v>
      </c>
      <c r="F29" s="815">
        <f t="shared" si="7"/>
        <v>0</v>
      </c>
      <c r="G29" s="815">
        <f t="shared" si="7"/>
        <v>0</v>
      </c>
      <c r="H29" s="815">
        <f t="shared" si="7"/>
        <v>0</v>
      </c>
    </row>
    <row r="30" spans="1:8" s="169" customFormat="1" ht="17.25" customHeight="1">
      <c r="A30" s="820" t="s">
        <v>327</v>
      </c>
      <c r="B30" s="821" t="s">
        <v>328</v>
      </c>
      <c r="C30" s="822"/>
      <c r="D30" s="822"/>
      <c r="E30" s="811">
        <f t="array" ref="E30">SUM(IF(A30=KHN,TH))</f>
        <v>0</v>
      </c>
      <c r="F30" s="811">
        <f t="array" ref="F30">SUM(IF(A30=KHC,TH))</f>
        <v>0</v>
      </c>
      <c r="G30" s="822">
        <f>MAX(C30+E30-D30-F30,0)</f>
        <v>0</v>
      </c>
      <c r="H30" s="822">
        <f>MAX(D30+F30-E30-C30,0)</f>
        <v>0</v>
      </c>
    </row>
    <row r="31" spans="1:8" s="169" customFormat="1" ht="17.25" customHeight="1">
      <c r="A31" s="823" t="s">
        <v>329</v>
      </c>
      <c r="B31" s="814" t="s">
        <v>330</v>
      </c>
      <c r="C31" s="815">
        <f t="shared" ref="C31:H31" si="8">C30</f>
        <v>0</v>
      </c>
      <c r="D31" s="815">
        <f t="shared" si="8"/>
        <v>0</v>
      </c>
      <c r="E31" s="815">
        <f t="shared" si="8"/>
        <v>0</v>
      </c>
      <c r="F31" s="815">
        <f t="shared" si="8"/>
        <v>0</v>
      </c>
      <c r="G31" s="815">
        <f t="shared" si="8"/>
        <v>0</v>
      </c>
      <c r="H31" s="815">
        <f t="shared" si="8"/>
        <v>0</v>
      </c>
    </row>
    <row r="32" spans="1:8" s="169" customFormat="1" ht="17.25" customHeight="1">
      <c r="A32" s="810" t="s">
        <v>313</v>
      </c>
      <c r="B32" s="810" t="s">
        <v>331</v>
      </c>
      <c r="C32" s="811"/>
      <c r="D32" s="811">
        <v>37250000</v>
      </c>
      <c r="E32" s="811">
        <f t="array" ref="E32">SUM(IF(A32=KHN,TH))</f>
        <v>0</v>
      </c>
      <c r="F32" s="811">
        <f t="array" ref="F32">SUM(IF(A32=KHC,TH))</f>
        <v>73000000</v>
      </c>
      <c r="G32" s="811">
        <f>MAX(C32+E32-D32-F32,0)</f>
        <v>0</v>
      </c>
      <c r="H32" s="811">
        <f>MAX(D32+F32-E32-C32,0)</f>
        <v>110250000</v>
      </c>
    </row>
    <row r="33" spans="1:8" s="169" customFormat="1" ht="17.25" customHeight="1">
      <c r="A33" s="809" t="s">
        <v>312</v>
      </c>
      <c r="B33" s="810" t="s">
        <v>332</v>
      </c>
      <c r="C33" s="811"/>
      <c r="D33" s="811"/>
      <c r="E33" s="811">
        <f t="array" ref="E33">SUM(IF(A33=KHN,TH))</f>
        <v>0</v>
      </c>
      <c r="F33" s="811">
        <f t="array" ref="F33">SUM(IF(A33=KHC,TH))</f>
        <v>0</v>
      </c>
      <c r="G33" s="811">
        <f>MAX(C33+E33-D33-F33,0)</f>
        <v>0</v>
      </c>
      <c r="H33" s="811">
        <f>MAX(D33+F33-E33-C33,0)</f>
        <v>0</v>
      </c>
    </row>
    <row r="34" spans="1:8" s="169" customFormat="1" ht="17.25" customHeight="1">
      <c r="A34" s="814" t="s">
        <v>333</v>
      </c>
      <c r="B34" s="814" t="s">
        <v>334</v>
      </c>
      <c r="C34" s="815">
        <f t="shared" ref="C34:H34" si="9">C32+C33</f>
        <v>0</v>
      </c>
      <c r="D34" s="815">
        <f t="shared" si="9"/>
        <v>37250000</v>
      </c>
      <c r="E34" s="815">
        <f t="shared" si="9"/>
        <v>0</v>
      </c>
      <c r="F34" s="815">
        <f t="shared" si="9"/>
        <v>73000000</v>
      </c>
      <c r="G34" s="815">
        <f t="shared" si="9"/>
        <v>0</v>
      </c>
      <c r="H34" s="815">
        <f t="shared" si="9"/>
        <v>110250000</v>
      </c>
    </row>
    <row r="35" spans="1:8" s="169" customFormat="1" ht="17.25" customHeight="1">
      <c r="A35" s="814" t="s">
        <v>8</v>
      </c>
      <c r="B35" s="814" t="s">
        <v>62</v>
      </c>
      <c r="C35" s="815"/>
      <c r="D35" s="815"/>
      <c r="E35" s="816">
        <f t="array" ref="E35">SUM(IF(A35=KHN,TH))</f>
        <v>1898375238</v>
      </c>
      <c r="F35" s="816">
        <f t="array" ref="F35">SUM(IF(A35=KHC,TH))</f>
        <v>2863483379</v>
      </c>
      <c r="G35" s="815">
        <f t="shared" si="3"/>
        <v>0</v>
      </c>
      <c r="H35" s="815">
        <f t="shared" si="4"/>
        <v>965108141</v>
      </c>
    </row>
    <row r="36" spans="1:8" s="169" customFormat="1" ht="17.25" customHeight="1">
      <c r="A36" s="824" t="s">
        <v>549</v>
      </c>
      <c r="B36" s="810" t="s">
        <v>548</v>
      </c>
      <c r="C36" s="811"/>
      <c r="D36" s="811"/>
      <c r="E36" s="811">
        <f t="array" ref="E36">SUM(IF(A36=KHN,TH))</f>
        <v>154594781</v>
      </c>
      <c r="F36" s="811">
        <f t="array" ref="F36">SUM(IF(A36=KHC,TH))</f>
        <v>154594781</v>
      </c>
      <c r="G36" s="811">
        <f t="shared" ref="G36" si="10">MAX(C36+E36-D36-F36,0)</f>
        <v>0</v>
      </c>
      <c r="H36" s="811">
        <f t="shared" ref="H36" si="11">MAX(D36+F36-E36-C36,0)</f>
        <v>0</v>
      </c>
    </row>
    <row r="37" spans="1:8" s="169" customFormat="1" ht="17.25" customHeight="1">
      <c r="A37" s="810" t="s">
        <v>63</v>
      </c>
      <c r="B37" s="810" t="s">
        <v>64</v>
      </c>
      <c r="C37" s="811"/>
      <c r="D37" s="811"/>
      <c r="E37" s="811">
        <f t="array" ref="E37">SUM(IF(A37=KHN,TH))</f>
        <v>0</v>
      </c>
      <c r="F37" s="811">
        <f t="array" ref="F37">SUM(IF(A37=KHC,TH))</f>
        <v>0</v>
      </c>
      <c r="G37" s="811">
        <f t="shared" si="3"/>
        <v>0</v>
      </c>
      <c r="H37" s="811">
        <f t="shared" si="4"/>
        <v>0</v>
      </c>
    </row>
    <row r="38" spans="1:8" s="169" customFormat="1" ht="17.25" customHeight="1">
      <c r="A38" s="810" t="s">
        <v>325</v>
      </c>
      <c r="B38" s="810" t="s">
        <v>326</v>
      </c>
      <c r="C38" s="811"/>
      <c r="D38" s="811"/>
      <c r="E38" s="811">
        <f t="array" ref="E38">SUM(IF(A38=KHN,TH))</f>
        <v>0</v>
      </c>
      <c r="F38" s="811">
        <f t="array" ref="F38">SUM(IF(A38=KHC,TH))</f>
        <v>0</v>
      </c>
      <c r="G38" s="811">
        <f t="shared" si="3"/>
        <v>0</v>
      </c>
      <c r="H38" s="811">
        <f t="shared" si="4"/>
        <v>0</v>
      </c>
    </row>
    <row r="39" spans="1:8" s="169" customFormat="1" ht="17.25" customHeight="1">
      <c r="A39" s="824" t="s">
        <v>65</v>
      </c>
      <c r="B39" s="825" t="s">
        <v>66</v>
      </c>
      <c r="C39" s="826"/>
      <c r="D39" s="826"/>
      <c r="E39" s="826">
        <f t="array" ref="E39">SUM(IF(A39=KHN,TH))</f>
        <v>2000000</v>
      </c>
      <c r="F39" s="826">
        <f t="array" ref="F39">SUM(IF(A39=KHC,TH))</f>
        <v>2000000</v>
      </c>
      <c r="G39" s="826">
        <f t="shared" si="3"/>
        <v>0</v>
      </c>
      <c r="H39" s="826">
        <f t="shared" si="4"/>
        <v>0</v>
      </c>
    </row>
    <row r="40" spans="1:8" s="169" customFormat="1" ht="17.25" customHeight="1">
      <c r="A40" s="810" t="s">
        <v>18</v>
      </c>
      <c r="B40" s="810" t="s">
        <v>67</v>
      </c>
      <c r="C40" s="811">
        <f>C39</f>
        <v>0</v>
      </c>
      <c r="D40" s="811">
        <f t="shared" ref="D40:H40" si="12">D39</f>
        <v>0</v>
      </c>
      <c r="E40" s="811">
        <f t="shared" si="12"/>
        <v>2000000</v>
      </c>
      <c r="F40" s="811">
        <f t="shared" si="12"/>
        <v>2000000</v>
      </c>
      <c r="G40" s="811">
        <f t="shared" si="12"/>
        <v>0</v>
      </c>
      <c r="H40" s="811">
        <f t="shared" si="12"/>
        <v>0</v>
      </c>
    </row>
    <row r="41" spans="1:8" s="169" customFormat="1" ht="17.25" customHeight="1">
      <c r="A41" s="814" t="s">
        <v>68</v>
      </c>
      <c r="B41" s="814" t="s">
        <v>69</v>
      </c>
      <c r="C41" s="815">
        <f>C37+C40+C38+C36</f>
        <v>0</v>
      </c>
      <c r="D41" s="815">
        <f t="shared" ref="D41:H41" si="13">D37+D40+D38+D36</f>
        <v>0</v>
      </c>
      <c r="E41" s="815">
        <f t="shared" si="13"/>
        <v>156594781</v>
      </c>
      <c r="F41" s="815">
        <f t="shared" si="13"/>
        <v>156594781</v>
      </c>
      <c r="G41" s="815">
        <f t="shared" si="13"/>
        <v>0</v>
      </c>
      <c r="H41" s="815">
        <f t="shared" si="13"/>
        <v>0</v>
      </c>
    </row>
    <row r="42" spans="1:8" s="169" customFormat="1" ht="17.25" customHeight="1">
      <c r="A42" s="810" t="s">
        <v>315</v>
      </c>
      <c r="B42" s="810" t="s">
        <v>322</v>
      </c>
      <c r="C42" s="811">
        <v>0</v>
      </c>
      <c r="D42" s="811">
        <v>0</v>
      </c>
      <c r="E42" s="811">
        <f t="array" ref="E42">SUM(IF(A42=KHN,TH))</f>
        <v>0</v>
      </c>
      <c r="F42" s="811">
        <f t="array" ref="F42">SUM(IF(A42=KHC,TH))</f>
        <v>0</v>
      </c>
      <c r="G42" s="811">
        <f t="shared" ref="G42:G47" si="14">MAX(C42+E42-D42-F42,0)</f>
        <v>0</v>
      </c>
      <c r="H42" s="811">
        <f t="shared" ref="H42:H47" si="15">MAX(D42+F42-E42-C42,0)</f>
        <v>0</v>
      </c>
    </row>
    <row r="43" spans="1:8" s="169" customFormat="1" ht="17.25" customHeight="1">
      <c r="A43" s="814" t="s">
        <v>323</v>
      </c>
      <c r="B43" s="814" t="s">
        <v>324</v>
      </c>
      <c r="C43" s="815">
        <f>C42</f>
        <v>0</v>
      </c>
      <c r="D43" s="815">
        <f>D42</f>
        <v>0</v>
      </c>
      <c r="E43" s="815">
        <f>E42</f>
        <v>0</v>
      </c>
      <c r="F43" s="815">
        <f>F42</f>
        <v>0</v>
      </c>
      <c r="G43" s="815">
        <f t="shared" si="14"/>
        <v>0</v>
      </c>
      <c r="H43" s="815">
        <f t="shared" si="15"/>
        <v>0</v>
      </c>
    </row>
    <row r="44" spans="1:8" s="169" customFormat="1" ht="17.25" customHeight="1">
      <c r="A44" s="809" t="s">
        <v>316</v>
      </c>
      <c r="B44" s="810" t="s">
        <v>319</v>
      </c>
      <c r="C44" s="811"/>
      <c r="D44" s="811"/>
      <c r="E44" s="811">
        <f t="array" ref="E44">SUM(IF(A44=KHN,TH))</f>
        <v>0</v>
      </c>
      <c r="F44" s="811">
        <f t="array" ref="F44">SUM(IF(A44=KHC,TH))</f>
        <v>0</v>
      </c>
      <c r="G44" s="811">
        <f t="shared" si="14"/>
        <v>0</v>
      </c>
      <c r="H44" s="811">
        <f t="shared" si="15"/>
        <v>0</v>
      </c>
    </row>
    <row r="45" spans="1:8" s="169" customFormat="1" ht="17.25" customHeight="1">
      <c r="A45" s="810" t="s">
        <v>317</v>
      </c>
      <c r="B45" s="810" t="s">
        <v>320</v>
      </c>
      <c r="C45" s="811"/>
      <c r="D45" s="811"/>
      <c r="E45" s="811">
        <f t="array" ref="E45">SUM(IF(A45=KHN,TH))</f>
        <v>0</v>
      </c>
      <c r="F45" s="811">
        <f t="array" ref="F45">SUM(IF(A45=KHC,TH))</f>
        <v>0</v>
      </c>
      <c r="G45" s="811">
        <f t="shared" si="14"/>
        <v>0</v>
      </c>
      <c r="H45" s="811">
        <f t="shared" si="15"/>
        <v>0</v>
      </c>
    </row>
    <row r="46" spans="1:8" s="169" customFormat="1" ht="17.25" customHeight="1">
      <c r="A46" s="809" t="s">
        <v>318</v>
      </c>
      <c r="B46" s="810" t="s">
        <v>321</v>
      </c>
      <c r="C46" s="811"/>
      <c r="D46" s="811"/>
      <c r="E46" s="811">
        <f t="array" ref="E46">SUM(IF(A46=KHN,TH))</f>
        <v>0</v>
      </c>
      <c r="F46" s="811">
        <f t="array" ref="F46">SUM(IF(A46=KHC,TH))</f>
        <v>0</v>
      </c>
      <c r="G46" s="811">
        <f t="shared" si="14"/>
        <v>0</v>
      </c>
      <c r="H46" s="811">
        <f t="shared" si="15"/>
        <v>0</v>
      </c>
    </row>
    <row r="47" spans="1:8" s="169" customFormat="1" ht="17.25" customHeight="1">
      <c r="A47" s="810" t="s">
        <v>17</v>
      </c>
      <c r="B47" s="810" t="s">
        <v>70</v>
      </c>
      <c r="C47" s="811"/>
      <c r="D47" s="811"/>
      <c r="E47" s="811">
        <f t="array" ref="E47">SUM(IF(A47=KHN,TH))</f>
        <v>0</v>
      </c>
      <c r="F47" s="811">
        <f t="array" ref="F47">SUM(IF(A47=KHC,TH))</f>
        <v>0</v>
      </c>
      <c r="G47" s="811">
        <f t="shared" si="14"/>
        <v>0</v>
      </c>
      <c r="H47" s="811">
        <f t="shared" si="15"/>
        <v>0</v>
      </c>
    </row>
    <row r="48" spans="1:8" s="169" customFormat="1" ht="17.25" customHeight="1">
      <c r="A48" s="814" t="s">
        <v>71</v>
      </c>
      <c r="B48" s="814" t="s">
        <v>72</v>
      </c>
      <c r="C48" s="815">
        <f t="shared" ref="C48:H48" si="16">SUM(C44:C47)</f>
        <v>0</v>
      </c>
      <c r="D48" s="815">
        <f t="shared" si="16"/>
        <v>0</v>
      </c>
      <c r="E48" s="815">
        <f t="shared" si="16"/>
        <v>0</v>
      </c>
      <c r="F48" s="815">
        <f t="shared" si="16"/>
        <v>0</v>
      </c>
      <c r="G48" s="815">
        <f t="shared" si="16"/>
        <v>0</v>
      </c>
      <c r="H48" s="815">
        <f t="shared" si="16"/>
        <v>0</v>
      </c>
    </row>
    <row r="49" spans="1:9" s="169" customFormat="1" ht="17.25" customHeight="1">
      <c r="A49" s="809" t="s">
        <v>73</v>
      </c>
      <c r="B49" s="810" t="s">
        <v>182</v>
      </c>
      <c r="C49" s="812"/>
      <c r="D49" s="812"/>
      <c r="E49" s="812">
        <f t="array" ref="E49">SUM(IF(A49=KHN,TH))</f>
        <v>0</v>
      </c>
      <c r="F49" s="812">
        <f t="array" ref="F49">SUM(IF(A49=KHC,TH))</f>
        <v>0</v>
      </c>
      <c r="G49" s="812">
        <f>MAX(C49+E49-D49-F49,0)</f>
        <v>0</v>
      </c>
      <c r="H49" s="812">
        <f>MAX(D49+F49-E49-C49,0)</f>
        <v>0</v>
      </c>
    </row>
    <row r="50" spans="1:9" s="169" customFormat="1" ht="17.25" customHeight="1">
      <c r="A50" s="809" t="s">
        <v>181</v>
      </c>
      <c r="B50" s="810" t="s">
        <v>183</v>
      </c>
      <c r="C50" s="811"/>
      <c r="D50" s="811"/>
      <c r="E50" s="811">
        <f t="array" ref="E50">SUM(IF(A50=KHN,TH))</f>
        <v>0</v>
      </c>
      <c r="F50" s="811">
        <f t="array" ref="F50">SUM(IF(A50=KHC,TH))</f>
        <v>0</v>
      </c>
      <c r="G50" s="811">
        <f>MAX(C50+E50-D50-F50,0)</f>
        <v>0</v>
      </c>
      <c r="H50" s="811">
        <f>MAX(D50+F50-E50-C50,0)</f>
        <v>0</v>
      </c>
    </row>
    <row r="51" spans="1:9" s="169" customFormat="1" ht="17.25" customHeight="1">
      <c r="A51" s="823" t="s">
        <v>40</v>
      </c>
      <c r="B51" s="814" t="s">
        <v>74</v>
      </c>
      <c r="C51" s="815">
        <f t="shared" ref="C51:H51" si="17">SUM(C49:C50)</f>
        <v>0</v>
      </c>
      <c r="D51" s="815">
        <f t="shared" si="17"/>
        <v>0</v>
      </c>
      <c r="E51" s="815">
        <f t="shared" si="17"/>
        <v>0</v>
      </c>
      <c r="F51" s="815">
        <f t="shared" si="17"/>
        <v>0</v>
      </c>
      <c r="G51" s="815">
        <f t="shared" si="17"/>
        <v>0</v>
      </c>
      <c r="H51" s="815">
        <f t="shared" si="17"/>
        <v>0</v>
      </c>
    </row>
    <row r="52" spans="1:9" s="169" customFormat="1" ht="17.25" customHeight="1">
      <c r="A52" s="810" t="s">
        <v>25</v>
      </c>
      <c r="B52" s="810" t="s">
        <v>75</v>
      </c>
      <c r="C52" s="811"/>
      <c r="D52" s="811"/>
      <c r="E52" s="811">
        <f t="array" ref="E52">SUM(IF(A52=KHN,TH))</f>
        <v>0</v>
      </c>
      <c r="F52" s="811">
        <f t="array" ref="F52">SUM(IF(A52=KHC,TH))</f>
        <v>0</v>
      </c>
      <c r="G52" s="812">
        <f>MAX(C52+E52-D52-F52,0)</f>
        <v>0</v>
      </c>
      <c r="H52" s="812">
        <f>MAX(D52+F52-E52-C52,0)</f>
        <v>0</v>
      </c>
    </row>
    <row r="53" spans="1:9" s="169" customFormat="1" ht="17.25" customHeight="1">
      <c r="A53" s="814" t="s">
        <v>76</v>
      </c>
      <c r="B53" s="814" t="s">
        <v>77</v>
      </c>
      <c r="C53" s="815">
        <v>0</v>
      </c>
      <c r="D53" s="815">
        <f>D52</f>
        <v>0</v>
      </c>
      <c r="E53" s="815">
        <f>E52</f>
        <v>0</v>
      </c>
      <c r="F53" s="815">
        <f>F52</f>
        <v>0</v>
      </c>
      <c r="G53" s="815">
        <f>MAX(C53+E53-D53-F53,0)</f>
        <v>0</v>
      </c>
      <c r="H53" s="815">
        <f>MAX(D53+F53-E53-C53,0)</f>
        <v>0</v>
      </c>
    </row>
    <row r="54" spans="1:9" s="169" customFormat="1" ht="17.25" customHeight="1">
      <c r="A54" s="809" t="s">
        <v>78</v>
      </c>
      <c r="B54" s="810" t="s">
        <v>79</v>
      </c>
      <c r="C54" s="811"/>
      <c r="D54" s="811"/>
      <c r="E54" s="811">
        <f t="array" ref="E54">SUM(IF(A54=KHN,TH))</f>
        <v>0</v>
      </c>
      <c r="F54" s="811">
        <f t="array" ref="F54">SUM(IF(A54=KHC,TH))</f>
        <v>0</v>
      </c>
      <c r="G54" s="812">
        <f>MAX(C54+E54-D54-F54,0)</f>
        <v>0</v>
      </c>
      <c r="H54" s="812">
        <f>MAX(D54+F54-E54-C54,0)</f>
        <v>0</v>
      </c>
    </row>
    <row r="55" spans="1:9" s="169" customFormat="1" ht="17.25" customHeight="1">
      <c r="A55" s="810" t="s">
        <v>80</v>
      </c>
      <c r="B55" s="810" t="s">
        <v>81</v>
      </c>
      <c r="C55" s="811"/>
      <c r="D55" s="811"/>
      <c r="E55" s="811">
        <f t="array" ref="E55">SUM(IF(A55=TH!$L$10:$L$1639,TH!$K$10:$K$1639))</f>
        <v>0</v>
      </c>
      <c r="F55" s="811">
        <f t="array" ref="F55">SUM(IF(A55=TH!$M$10:$M$1639,TH!$K$10:$K$1639))</f>
        <v>0</v>
      </c>
      <c r="G55" s="811">
        <f>MAX(C55+E55-D55-F55,0)</f>
        <v>0</v>
      </c>
      <c r="H55" s="811">
        <f>MAX(D55+F55-E55-C55,0)</f>
        <v>0</v>
      </c>
    </row>
    <row r="56" spans="1:9" s="169" customFormat="1" ht="17.25" customHeight="1">
      <c r="A56" s="814" t="s">
        <v>82</v>
      </c>
      <c r="B56" s="814" t="s">
        <v>83</v>
      </c>
      <c r="C56" s="815">
        <f t="shared" ref="C56:H56" si="18">C55+C54</f>
        <v>0</v>
      </c>
      <c r="D56" s="815">
        <f t="shared" si="18"/>
        <v>0</v>
      </c>
      <c r="E56" s="815">
        <f t="shared" si="18"/>
        <v>0</v>
      </c>
      <c r="F56" s="815">
        <f t="shared" si="18"/>
        <v>0</v>
      </c>
      <c r="G56" s="815">
        <f t="shared" si="18"/>
        <v>0</v>
      </c>
      <c r="H56" s="815">
        <f t="shared" si="18"/>
        <v>0</v>
      </c>
    </row>
    <row r="57" spans="1:9" s="169" customFormat="1" ht="17.25" customHeight="1">
      <c r="A57" s="809" t="s">
        <v>208</v>
      </c>
      <c r="B57" s="810" t="s">
        <v>209</v>
      </c>
      <c r="C57" s="811"/>
      <c r="D57" s="811"/>
      <c r="E57" s="811">
        <f t="array" ref="E57">SUM(IF(A57=KHN,TH))</f>
        <v>1534773951</v>
      </c>
      <c r="F57" s="811">
        <f t="array" ref="F57">SUM(IF(A57=KHC,TH))</f>
        <v>1534773951</v>
      </c>
      <c r="G57" s="812"/>
      <c r="H57" s="812"/>
      <c r="I57" s="169">
        <f>E57-F57</f>
        <v>0</v>
      </c>
    </row>
    <row r="58" spans="1:9" s="169" customFormat="1" ht="17.25" customHeight="1">
      <c r="A58" s="814" t="s">
        <v>210</v>
      </c>
      <c r="B58" s="814" t="s">
        <v>211</v>
      </c>
      <c r="C58" s="815"/>
      <c r="D58" s="815"/>
      <c r="E58" s="815">
        <f>E57</f>
        <v>1534773951</v>
      </c>
      <c r="F58" s="815">
        <f>F57</f>
        <v>1534773951</v>
      </c>
      <c r="G58" s="815"/>
      <c r="H58" s="815"/>
      <c r="I58" s="169">
        <f>E58-F58</f>
        <v>0</v>
      </c>
    </row>
    <row r="59" spans="1:9" s="169" customFormat="1" ht="17.25" customHeight="1">
      <c r="A59" s="814" t="s">
        <v>41</v>
      </c>
      <c r="B59" s="814" t="s">
        <v>84</v>
      </c>
      <c r="C59" s="815"/>
      <c r="D59" s="815"/>
      <c r="E59" s="816">
        <f t="array" ref="E59">SUM(IF(A59=KHN,TH))</f>
        <v>501718</v>
      </c>
      <c r="F59" s="816">
        <f t="array" ref="F59">SUM(IF(A59=KHC,TH))</f>
        <v>501718</v>
      </c>
      <c r="G59" s="815"/>
      <c r="H59" s="815"/>
      <c r="I59" s="169">
        <f t="shared" ref="I59:I67" si="19">E59-F59</f>
        <v>0</v>
      </c>
    </row>
    <row r="60" spans="1:9" s="169" customFormat="1" ht="17.25" customHeight="1">
      <c r="A60" s="814" t="s">
        <v>206</v>
      </c>
      <c r="B60" s="814" t="s">
        <v>207</v>
      </c>
      <c r="C60" s="815"/>
      <c r="D60" s="815"/>
      <c r="E60" s="816">
        <f t="array" ref="E60">SUM(IF(A60=KHN,TH))</f>
        <v>0</v>
      </c>
      <c r="F60" s="816">
        <f t="array" ref="F60">SUM(IF(A60=KHC,TH))</f>
        <v>0</v>
      </c>
      <c r="G60" s="815"/>
      <c r="H60" s="815"/>
      <c r="I60" s="169">
        <f t="shared" si="19"/>
        <v>0</v>
      </c>
    </row>
    <row r="61" spans="1:9" s="169" customFormat="1" ht="17.25" customHeight="1">
      <c r="A61" s="814" t="s">
        <v>85</v>
      </c>
      <c r="B61" s="814" t="s">
        <v>86</v>
      </c>
      <c r="C61" s="815"/>
      <c r="D61" s="815"/>
      <c r="E61" s="816">
        <f t="array" ref="E61">SUM(IF(A61=KHN,TH))</f>
        <v>0</v>
      </c>
      <c r="F61" s="816">
        <f t="array" ref="F61">SUM(IF(A61=KHC,TH))</f>
        <v>0</v>
      </c>
      <c r="G61" s="815"/>
      <c r="H61" s="815"/>
      <c r="I61" s="169">
        <f t="shared" si="19"/>
        <v>0</v>
      </c>
    </row>
    <row r="62" spans="1:9" s="169" customFormat="1" ht="17.25" customHeight="1">
      <c r="A62" s="823" t="s">
        <v>314</v>
      </c>
      <c r="B62" s="814" t="s">
        <v>393</v>
      </c>
      <c r="C62" s="815"/>
      <c r="D62" s="815"/>
      <c r="E62" s="816">
        <f t="array" ref="E62">SUM(IF(A62=KHN,TH))</f>
        <v>0</v>
      </c>
      <c r="F62" s="816">
        <f t="array" ref="F62">SUM(IF(A62=KHC,TH))</f>
        <v>0</v>
      </c>
      <c r="G62" s="815"/>
      <c r="H62" s="815"/>
      <c r="I62" s="169">
        <f>E62-F62</f>
        <v>0</v>
      </c>
    </row>
    <row r="63" spans="1:9" s="169" customFormat="1" ht="17.25" customHeight="1">
      <c r="A63" s="814" t="s">
        <v>87</v>
      </c>
      <c r="B63" s="814" t="s">
        <v>88</v>
      </c>
      <c r="C63" s="815"/>
      <c r="D63" s="815"/>
      <c r="E63" s="816">
        <f t="array" ref="E63">SUM(IF(A63=KHN,TH))</f>
        <v>10404657</v>
      </c>
      <c r="F63" s="816">
        <f t="array" ref="F63">SUM(IF(A63=KHC,TH))</f>
        <v>10404657</v>
      </c>
      <c r="G63" s="815"/>
      <c r="H63" s="815"/>
      <c r="I63" s="169">
        <f t="shared" si="19"/>
        <v>0</v>
      </c>
    </row>
    <row r="64" spans="1:9" s="169" customFormat="1" ht="17.25" customHeight="1">
      <c r="A64" s="823" t="s">
        <v>89</v>
      </c>
      <c r="B64" s="814" t="s">
        <v>90</v>
      </c>
      <c r="C64" s="815"/>
      <c r="D64" s="815"/>
      <c r="E64" s="816">
        <f t="array" ref="E64">SUM(IF(A64=KHN,TH))</f>
        <v>0</v>
      </c>
      <c r="F64" s="816">
        <f t="array" ref="F64">SUM(IF(A64=KHC,TH))</f>
        <v>0</v>
      </c>
      <c r="G64" s="815"/>
      <c r="H64" s="815"/>
      <c r="I64" s="169">
        <f t="shared" si="19"/>
        <v>0</v>
      </c>
    </row>
    <row r="65" spans="1:9" s="169" customFormat="1" ht="17.25" customHeight="1">
      <c r="A65" s="814" t="s">
        <v>91</v>
      </c>
      <c r="B65" s="814" t="s">
        <v>92</v>
      </c>
      <c r="C65" s="815"/>
      <c r="D65" s="815"/>
      <c r="E65" s="816">
        <f t="array" ref="E65">SUM(IF(A65=KHN,TH))</f>
        <v>0</v>
      </c>
      <c r="F65" s="816">
        <f t="array" ref="F65">SUM(IF(A65=KHC,TH))</f>
        <v>0</v>
      </c>
      <c r="G65" s="815"/>
      <c r="H65" s="815"/>
      <c r="I65" s="169">
        <f t="shared" si="19"/>
        <v>0</v>
      </c>
    </row>
    <row r="66" spans="1:9" s="169" customFormat="1" ht="17.25" customHeight="1">
      <c r="A66" s="823" t="s">
        <v>93</v>
      </c>
      <c r="B66" s="814" t="s">
        <v>94</v>
      </c>
      <c r="C66" s="815"/>
      <c r="D66" s="815"/>
      <c r="E66" s="816">
        <f t="array" ref="E66">SUM(IF(A66=KHN,TH))</f>
        <v>0</v>
      </c>
      <c r="F66" s="816">
        <f t="array" ref="F66">SUM(IF(A66=KHC,TH))</f>
        <v>0</v>
      </c>
      <c r="G66" s="815"/>
      <c r="H66" s="815"/>
      <c r="I66" s="169">
        <f t="shared" si="19"/>
        <v>0</v>
      </c>
    </row>
    <row r="67" spans="1:9" s="169" customFormat="1" ht="17.25" customHeight="1">
      <c r="A67" s="814" t="s">
        <v>95</v>
      </c>
      <c r="B67" s="814" t="s">
        <v>96</v>
      </c>
      <c r="C67" s="815"/>
      <c r="D67" s="815"/>
      <c r="E67" s="827">
        <f t="array" ref="E67">SUM(IF(A67=KHN,TH))</f>
        <v>10404657</v>
      </c>
      <c r="F67" s="827">
        <f t="array" ref="F67">SUM(IF(A67=TH!$M$10:$M$1639,TH!$K$10:$K$1639))</f>
        <v>1535275669</v>
      </c>
      <c r="G67" s="815"/>
      <c r="H67" s="815"/>
      <c r="I67" s="169">
        <f t="shared" si="19"/>
        <v>-1524871012</v>
      </c>
    </row>
    <row r="68" spans="1:9" s="169" customFormat="1" ht="17.25" customHeight="1">
      <c r="A68" s="925" t="s">
        <v>39</v>
      </c>
      <c r="B68" s="926"/>
      <c r="C68" s="828">
        <f>C11+C13+C14+C16+C18+C19+C22+C23+C24+C25+C29+C31+C34+C35+C41+C43+C48+C51+C53+C56+C58+C59+C60+C61+C62+C63+C64+C65+C66+C67</f>
        <v>1658571921</v>
      </c>
      <c r="D68" s="828">
        <f t="shared" ref="D68:H68" si="20">D11+D13+D14+D16+D18+D19+D22+D23+D24+D25+D29+D31+D34+D35+D41+D43+D48+D51+D53+D56+D58+D59+D60+D61+D62+D63+D64+D65+D66+D67</f>
        <v>37250000</v>
      </c>
      <c r="E68" s="828">
        <f t="shared" si="20"/>
        <v>11220577703</v>
      </c>
      <c r="F68" s="828">
        <f t="shared" si="20"/>
        <v>11220577703</v>
      </c>
      <c r="G68" s="828">
        <f t="shared" si="20"/>
        <v>4777395972</v>
      </c>
      <c r="H68" s="828">
        <f t="shared" si="20"/>
        <v>1631203039</v>
      </c>
    </row>
    <row r="69" spans="1:9">
      <c r="E69" s="829"/>
      <c r="F69" s="830"/>
    </row>
    <row r="70" spans="1:9">
      <c r="E70" s="830"/>
      <c r="H70" s="830">
        <f>G68-H68</f>
        <v>3146192933</v>
      </c>
    </row>
    <row r="71" spans="1:9">
      <c r="E71" s="831"/>
      <c r="F71" s="831"/>
    </row>
    <row r="72" spans="1:9">
      <c r="E72" s="831"/>
      <c r="F72" s="831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650"/>
  <sheetViews>
    <sheetView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H25" sqref="H25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582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28" width="9.140625" style="212" customWidth="1"/>
    <col min="29" max="16384" width="9.140625" style="212"/>
  </cols>
  <sheetData>
    <row r="1" spans="1:27" ht="15">
      <c r="A1" s="1" t="s">
        <v>157</v>
      </c>
      <c r="B1" s="31"/>
      <c r="C1" s="31"/>
      <c r="D1" s="32"/>
      <c r="E1" s="32"/>
      <c r="F1" s="33"/>
      <c r="G1" s="578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159</v>
      </c>
      <c r="B2" s="31"/>
      <c r="C2" s="31"/>
      <c r="D2" s="32"/>
      <c r="E2" s="32"/>
      <c r="F2" s="32"/>
      <c r="G2" s="578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578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30" t="s">
        <v>97</v>
      </c>
      <c r="D4" s="930"/>
      <c r="E4" s="930"/>
      <c r="F4" s="930"/>
      <c r="G4" s="930"/>
      <c r="H4" s="930"/>
      <c r="I4" s="930"/>
      <c r="J4" s="930"/>
      <c r="K4" s="930"/>
      <c r="L4" s="930"/>
      <c r="M4" s="930"/>
    </row>
    <row r="5" spans="1:27" ht="14.25">
      <c r="B5" s="43"/>
      <c r="C5" s="931"/>
      <c r="D5" s="931"/>
      <c r="E5" s="931"/>
      <c r="F5" s="931"/>
      <c r="G5" s="931"/>
      <c r="H5" s="931"/>
      <c r="I5" s="931"/>
      <c r="J5" s="931"/>
      <c r="K5" s="931"/>
      <c r="L5" s="931"/>
      <c r="M5" s="931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46" t="s">
        <v>123</v>
      </c>
      <c r="B7" s="948" t="s">
        <v>105</v>
      </c>
      <c r="C7" s="932" t="s">
        <v>20</v>
      </c>
      <c r="D7" s="933" t="s">
        <v>1</v>
      </c>
      <c r="E7" s="934"/>
      <c r="F7" s="932" t="s">
        <v>0</v>
      </c>
      <c r="G7" s="936" t="s">
        <v>122</v>
      </c>
      <c r="H7" s="950" t="s">
        <v>45</v>
      </c>
      <c r="I7" s="953" t="s">
        <v>310</v>
      </c>
      <c r="J7" s="954"/>
      <c r="K7" s="932" t="s">
        <v>184</v>
      </c>
      <c r="L7" s="935" t="s">
        <v>98</v>
      </c>
      <c r="M7" s="935"/>
      <c r="N7" s="951" t="s">
        <v>8</v>
      </c>
      <c r="O7" s="940" t="s">
        <v>49</v>
      </c>
      <c r="P7" s="941"/>
      <c r="Q7" s="942"/>
      <c r="R7" s="940" t="s">
        <v>53</v>
      </c>
      <c r="S7" s="941"/>
      <c r="T7" s="942"/>
      <c r="U7" s="951" t="s">
        <v>40</v>
      </c>
      <c r="V7" s="938" t="str">
        <f>CTTK!$E$7</f>
        <v>1388</v>
      </c>
      <c r="W7" s="938" t="s">
        <v>311</v>
      </c>
      <c r="X7" s="929" t="s">
        <v>190</v>
      </c>
      <c r="Y7" s="929"/>
      <c r="Z7" s="929"/>
      <c r="AA7" s="929" t="s">
        <v>446</v>
      </c>
    </row>
    <row r="8" spans="1:27" ht="24.75" customHeight="1">
      <c r="A8" s="947"/>
      <c r="B8" s="949"/>
      <c r="C8" s="932"/>
      <c r="D8" s="217" t="s">
        <v>15</v>
      </c>
      <c r="E8" s="216" t="s">
        <v>32</v>
      </c>
      <c r="F8" s="932"/>
      <c r="G8" s="937"/>
      <c r="H8" s="950"/>
      <c r="I8" s="283" t="s">
        <v>246</v>
      </c>
      <c r="J8" s="283" t="s">
        <v>247</v>
      </c>
      <c r="K8" s="932"/>
      <c r="L8" s="218" t="s">
        <v>22</v>
      </c>
      <c r="M8" s="218" t="s">
        <v>23</v>
      </c>
      <c r="N8" s="952"/>
      <c r="O8" s="943"/>
      <c r="P8" s="944"/>
      <c r="Q8" s="945"/>
      <c r="R8" s="943"/>
      <c r="S8" s="944"/>
      <c r="T8" s="945"/>
      <c r="U8" s="952"/>
      <c r="V8" s="939"/>
      <c r="W8" s="939"/>
      <c r="X8" s="929"/>
      <c r="Y8" s="929"/>
      <c r="Z8" s="929"/>
      <c r="AA8" s="929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579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3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166</v>
      </c>
      <c r="G10" s="52"/>
      <c r="H10" s="53"/>
      <c r="I10" s="275"/>
      <c r="J10" s="275"/>
      <c r="K10" s="54">
        <f>CDPS!D55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339</v>
      </c>
      <c r="G11" s="52"/>
      <c r="H11" s="53"/>
      <c r="I11" s="275"/>
      <c r="J11" s="275"/>
      <c r="K11" s="54">
        <f>SUMIF(KHC,L11,TH)</f>
        <v>154594781</v>
      </c>
      <c r="L11" s="56" t="s">
        <v>549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340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206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341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314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10404657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501718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7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398</v>
      </c>
      <c r="G17" s="52"/>
      <c r="H17" s="53"/>
      <c r="I17" s="275"/>
      <c r="J17" s="275"/>
      <c r="K17" s="54">
        <f>SUMIF(KHC,L17,TH)</f>
        <v>1534773951</v>
      </c>
      <c r="L17" s="55" t="s">
        <v>208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7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7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7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33" si="2">E20</f>
        <v>40999</v>
      </c>
      <c r="D20" s="51" t="s">
        <v>99</v>
      </c>
      <c r="E20" s="51">
        <v>40999</v>
      </c>
      <c r="F20" s="52" t="s">
        <v>394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7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395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7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396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7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397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7" s="689" customFormat="1" ht="15.75" customHeight="1">
      <c r="A24" s="219" t="str">
        <f>IF(B24&lt;&gt;"",IF(AND(B24&gt;=_TM1,B24&lt;=_TM2,OR(TH!L24="1111",TH!M24="1111")),TH!D24,""),"")</f>
        <v/>
      </c>
      <c r="B24" s="36">
        <f t="shared" ref="B24" si="3">IF(C24&lt;&gt;"",MONTH(C24),"")</f>
        <v>3</v>
      </c>
      <c r="C24" s="917">
        <f t="shared" ref="C24" si="4">E24</f>
        <v>40999</v>
      </c>
      <c r="D24" s="917" t="s">
        <v>408</v>
      </c>
      <c r="E24" s="907">
        <v>40999</v>
      </c>
      <c r="F24" s="918" t="s">
        <v>1572</v>
      </c>
      <c r="G24" s="919"/>
      <c r="H24" s="719"/>
      <c r="I24" s="910"/>
      <c r="J24" s="910"/>
      <c r="K24" s="920">
        <v>18250000</v>
      </c>
      <c r="L24" s="921" t="s">
        <v>194</v>
      </c>
      <c r="M24" s="921" t="s">
        <v>313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/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7" s="689" customFormat="1" ht="15.75" customHeight="1">
      <c r="A25" s="219" t="str">
        <f>IF(B25&lt;&gt;"",IF(AND(B25&gt;=_TM1,B25&lt;=_TM2,OR(TH!L25="1111",TH!M25="1111")),TH!D25,""),"")</f>
        <v/>
      </c>
      <c r="B25" s="36">
        <f t="shared" si="0"/>
        <v>6</v>
      </c>
      <c r="C25" s="917">
        <f t="shared" si="2"/>
        <v>41090</v>
      </c>
      <c r="D25" s="917" t="s">
        <v>408</v>
      </c>
      <c r="E25" s="907">
        <v>41090</v>
      </c>
      <c r="F25" s="918" t="s">
        <v>1572</v>
      </c>
      <c r="G25" s="919"/>
      <c r="H25" s="719"/>
      <c r="I25" s="910"/>
      <c r="J25" s="910"/>
      <c r="K25" s="920">
        <v>18250000</v>
      </c>
      <c r="L25" s="921" t="s">
        <v>194</v>
      </c>
      <c r="M25" s="921" t="s">
        <v>313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>x</v>
      </c>
    </row>
    <row r="26" spans="1:27" s="689" customFormat="1" ht="15.75" customHeight="1">
      <c r="A26" s="219" t="str">
        <f>IF(B26&lt;&gt;"",IF(AND(B26&gt;=_TM1,B26&lt;=_TM2,OR(TH!L26="1111",TH!M26="1111")),TH!D26,""),"")</f>
        <v/>
      </c>
      <c r="B26" s="36">
        <f t="shared" si="0"/>
        <v>9</v>
      </c>
      <c r="C26" s="917">
        <f t="shared" si="2"/>
        <v>41182</v>
      </c>
      <c r="D26" s="917" t="s">
        <v>408</v>
      </c>
      <c r="E26" s="907">
        <v>41182</v>
      </c>
      <c r="F26" s="918" t="s">
        <v>1572</v>
      </c>
      <c r="G26" s="919"/>
      <c r="H26" s="719"/>
      <c r="I26" s="910"/>
      <c r="J26" s="910"/>
      <c r="K26" s="920">
        <v>18250000</v>
      </c>
      <c r="L26" s="921" t="s">
        <v>194</v>
      </c>
      <c r="M26" s="921" t="s">
        <v>313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/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7" s="689" customFormat="1" ht="15.75" customHeight="1">
      <c r="A27" s="219" t="str">
        <f>IF(B27&lt;&gt;"",IF(AND(B27&gt;=_TM1,B27&lt;=_TM2,OR(TH!L27="1111",TH!M27="1111")),TH!D27,""),"")</f>
        <v/>
      </c>
      <c r="B27" s="36">
        <f t="shared" si="0"/>
        <v>12</v>
      </c>
      <c r="C27" s="917">
        <f t="shared" si="2"/>
        <v>41274</v>
      </c>
      <c r="D27" s="917" t="s">
        <v>408</v>
      </c>
      <c r="E27" s="907">
        <v>41274</v>
      </c>
      <c r="F27" s="918" t="s">
        <v>1572</v>
      </c>
      <c r="G27" s="919"/>
      <c r="H27" s="719"/>
      <c r="I27" s="910"/>
      <c r="J27" s="910"/>
      <c r="K27" s="920">
        <v>18250000</v>
      </c>
      <c r="L27" s="921" t="s">
        <v>194</v>
      </c>
      <c r="M27" s="921" t="s">
        <v>313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7" s="689" customFormat="1" ht="15.75" customHeight="1">
      <c r="A28" s="219" t="str">
        <f>IF(B28&lt;&gt;"",IF(AND(B28&gt;=_TM1,B28&lt;=_TM2,OR(TH!L28="1111",TH!M28="1111")),TH!D28,""),"")</f>
        <v/>
      </c>
      <c r="B28" s="36">
        <f t="shared" ref="B28" si="5">IF(C28&lt;&gt;"",MONTH(C28),"")</f>
        <v>3</v>
      </c>
      <c r="C28" s="917">
        <f t="shared" ref="C28" si="6">E28</f>
        <v>40999</v>
      </c>
      <c r="D28" s="917" t="s">
        <v>408</v>
      </c>
      <c r="E28" s="907">
        <v>40999</v>
      </c>
      <c r="F28" s="918" t="s">
        <v>1573</v>
      </c>
      <c r="G28" s="919"/>
      <c r="H28" s="719"/>
      <c r="I28" s="910"/>
      <c r="J28" s="910"/>
      <c r="K28" s="920">
        <f>1522273</f>
        <v>1522273</v>
      </c>
      <c r="L28" s="921" t="s">
        <v>194</v>
      </c>
      <c r="M28" s="921" t="s">
        <v>1554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7" s="689" customFormat="1" ht="15.75" customHeight="1">
      <c r="A29" s="219" t="str">
        <f>IF(B29&lt;&gt;"",IF(AND(B29&gt;=_TM1,B29&lt;=_TM2,OR(TH!L29="1111",TH!M29="1111")),TH!D29,""),"")</f>
        <v/>
      </c>
      <c r="B29" s="36">
        <f t="shared" si="0"/>
        <v>6</v>
      </c>
      <c r="C29" s="917">
        <f t="shared" si="2"/>
        <v>41090</v>
      </c>
      <c r="D29" s="917" t="s">
        <v>408</v>
      </c>
      <c r="E29" s="907">
        <v>41090</v>
      </c>
      <c r="F29" s="918" t="s">
        <v>1573</v>
      </c>
      <c r="G29" s="919"/>
      <c r="H29" s="719"/>
      <c r="I29" s="910"/>
      <c r="J29" s="910"/>
      <c r="K29" s="920">
        <f>1522273+950000</f>
        <v>2472273</v>
      </c>
      <c r="L29" s="921" t="s">
        <v>194</v>
      </c>
      <c r="M29" s="921" t="s">
        <v>1554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>x</v>
      </c>
    </row>
    <row r="30" spans="1:27" s="689" customFormat="1" ht="15.75" customHeight="1">
      <c r="A30" s="219" t="str">
        <f>IF(B30&lt;&gt;"",IF(AND(B30&gt;=_TM1,B30&lt;=_TM2,OR(TH!L30="1111",TH!M30="1111")),TH!D30,""),"")</f>
        <v/>
      </c>
      <c r="B30" s="36">
        <f t="shared" si="0"/>
        <v>9</v>
      </c>
      <c r="C30" s="917">
        <f t="shared" si="2"/>
        <v>41182</v>
      </c>
      <c r="D30" s="917" t="s">
        <v>408</v>
      </c>
      <c r="E30" s="907">
        <v>41182</v>
      </c>
      <c r="F30" s="918" t="s">
        <v>1573</v>
      </c>
      <c r="G30" s="919"/>
      <c r="H30" s="719"/>
      <c r="I30" s="910"/>
      <c r="J30" s="910"/>
      <c r="K30" s="920">
        <f>1522273+950000</f>
        <v>2472273</v>
      </c>
      <c r="L30" s="921" t="s">
        <v>194</v>
      </c>
      <c r="M30" s="921" t="s">
        <v>1554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/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7" s="689" customFormat="1" ht="15.75" customHeight="1">
      <c r="A31" s="219" t="str">
        <f>IF(B31&lt;&gt;"",IF(AND(B31&gt;=_TM1,B31&lt;=_TM2,OR(TH!L31="1111",TH!M31="1111")),TH!D31,""),"")</f>
        <v/>
      </c>
      <c r="B31" s="36">
        <f t="shared" si="0"/>
        <v>12</v>
      </c>
      <c r="C31" s="917">
        <f t="shared" si="2"/>
        <v>41274</v>
      </c>
      <c r="D31" s="917" t="s">
        <v>408</v>
      </c>
      <c r="E31" s="907">
        <v>41274</v>
      </c>
      <c r="F31" s="918" t="s">
        <v>1573</v>
      </c>
      <c r="G31" s="919"/>
      <c r="H31" s="719"/>
      <c r="I31" s="910"/>
      <c r="J31" s="910"/>
      <c r="K31" s="920">
        <f>950000</f>
        <v>950000</v>
      </c>
      <c r="L31" s="921" t="s">
        <v>194</v>
      </c>
      <c r="M31" s="921" t="s">
        <v>1554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</row>
    <row r="32" spans="1:27" s="689" customFormat="1" ht="15.75" customHeight="1">
      <c r="A32" s="219" t="str">
        <f>IF(B32&lt;&gt;"",IF(AND(B32&gt;=_TM1,B32&lt;=_TM2,OR(TH!L32="1111",TH!M32="1111")),TH!D32,""),"")</f>
        <v/>
      </c>
      <c r="B32" s="36">
        <f t="shared" si="0"/>
        <v>1</v>
      </c>
      <c r="C32" s="917">
        <f t="shared" si="2"/>
        <v>40939</v>
      </c>
      <c r="D32" s="917" t="s">
        <v>408</v>
      </c>
      <c r="E32" s="907">
        <v>40939</v>
      </c>
      <c r="F32" s="918" t="s">
        <v>1574</v>
      </c>
      <c r="G32" s="919"/>
      <c r="H32" s="719"/>
      <c r="I32" s="910"/>
      <c r="J32" s="910"/>
      <c r="K32" s="920"/>
      <c r="L32" s="921" t="s">
        <v>194</v>
      </c>
      <c r="M32" s="921" t="s">
        <v>315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/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</row>
    <row r="33" spans="1:27" s="689" customFormat="1" ht="15.75" customHeight="1">
      <c r="A33" s="219" t="str">
        <f>IF(B33&lt;&gt;"",IF(AND(B33&gt;=_TM1,B33&lt;=_TM2,OR(TH!L33="1111",TH!M33="1111")),TH!D33,""),"")</f>
        <v/>
      </c>
      <c r="B33" s="36">
        <f t="shared" si="0"/>
        <v>1</v>
      </c>
      <c r="C33" s="917">
        <f t="shared" si="2"/>
        <v>40939</v>
      </c>
      <c r="D33" s="917" t="s">
        <v>408</v>
      </c>
      <c r="E33" s="907">
        <v>40939</v>
      </c>
      <c r="F33" s="918" t="str">
        <f>"Thanh toán tiền lương tháng "&amp;MONTH(E33)&amp;"/"&amp;YEAR(E33)</f>
        <v>Thanh toán tiền lương tháng 1/2012</v>
      </c>
      <c r="G33" s="919"/>
      <c r="H33" s="719"/>
      <c r="I33" s="910"/>
      <c r="J33" s="910"/>
      <c r="K33" s="920"/>
      <c r="L33" s="921" t="s">
        <v>315</v>
      </c>
      <c r="M33" s="921" t="s">
        <v>49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>x</v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</row>
    <row r="34" spans="1:27" s="689" customFormat="1" ht="15.75" customHeight="1">
      <c r="A34" s="219" t="str">
        <f>IF(B34&lt;&gt;"",IF(AND(B34&gt;=_TM1,B34&lt;=_TM2,OR(TH!L34="1111",TH!M34="1111")),TH!D34,""),"")</f>
        <v/>
      </c>
      <c r="B34" s="36">
        <f t="shared" ref="B34:B37" si="7">IF(C34&lt;&gt;"",MONTH(C34),"")</f>
        <v>2</v>
      </c>
      <c r="C34" s="917">
        <f t="shared" ref="C34:C37" si="8">E34</f>
        <v>40968</v>
      </c>
      <c r="D34" s="917" t="s">
        <v>408</v>
      </c>
      <c r="E34" s="907">
        <v>40968</v>
      </c>
      <c r="F34" s="918" t="s">
        <v>1574</v>
      </c>
      <c r="G34" s="919"/>
      <c r="H34" s="719"/>
      <c r="I34" s="910"/>
      <c r="J34" s="910"/>
      <c r="K34" s="920"/>
      <c r="L34" s="921" t="s">
        <v>194</v>
      </c>
      <c r="M34" s="921" t="s">
        <v>315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</row>
    <row r="35" spans="1:27" s="689" customFormat="1" ht="15.75" customHeight="1">
      <c r="A35" s="219" t="str">
        <f>IF(B35&lt;&gt;"",IF(AND(B35&gt;=_TM1,B35&lt;=_TM2,OR(TH!L35="1111",TH!M35="1111")),TH!D35,""),"")</f>
        <v/>
      </c>
      <c r="B35" s="36">
        <f t="shared" si="7"/>
        <v>2</v>
      </c>
      <c r="C35" s="917">
        <f t="shared" si="8"/>
        <v>40968</v>
      </c>
      <c r="D35" s="917" t="s">
        <v>408</v>
      </c>
      <c r="E35" s="907">
        <v>40968</v>
      </c>
      <c r="F35" s="918" t="str">
        <f>"Thanh toán tiền lương tháng "&amp;MONTH(E35)&amp;"/"&amp;YEAR(E35)</f>
        <v>Thanh toán tiền lương tháng 2/2012</v>
      </c>
      <c r="G35" s="919"/>
      <c r="H35" s="719"/>
      <c r="I35" s="910"/>
      <c r="J35" s="910"/>
      <c r="K35" s="920"/>
      <c r="L35" s="921" t="s">
        <v>315</v>
      </c>
      <c r="M35" s="921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</row>
    <row r="36" spans="1:27" s="689" customFormat="1" ht="15.75" customHeight="1">
      <c r="A36" s="219" t="str">
        <f>IF(B36&lt;&gt;"",IF(AND(B36&gt;=_TM1,B36&lt;=_TM2,OR(TH!L36="1111",TH!M36="1111")),TH!D36,""),"")</f>
        <v/>
      </c>
      <c r="B36" s="36">
        <f t="shared" si="7"/>
        <v>3</v>
      </c>
      <c r="C36" s="917">
        <f t="shared" si="8"/>
        <v>40999</v>
      </c>
      <c r="D36" s="917" t="s">
        <v>408</v>
      </c>
      <c r="E36" s="907">
        <v>40999</v>
      </c>
      <c r="F36" s="918" t="s">
        <v>1574</v>
      </c>
      <c r="G36" s="919"/>
      <c r="H36" s="719"/>
      <c r="I36" s="910"/>
      <c r="J36" s="910"/>
      <c r="K36" s="920"/>
      <c r="L36" s="921" t="s">
        <v>194</v>
      </c>
      <c r="M36" s="921" t="s">
        <v>315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7" s="689" customFormat="1" ht="15.75" customHeight="1">
      <c r="A37" s="219" t="str">
        <f>IF(B37&lt;&gt;"",IF(AND(B37&gt;=_TM1,B37&lt;=_TM2,OR(TH!L37="1111",TH!M37="1111")),TH!D37,""),"")</f>
        <v/>
      </c>
      <c r="B37" s="36">
        <f t="shared" si="7"/>
        <v>3</v>
      </c>
      <c r="C37" s="917">
        <f t="shared" si="8"/>
        <v>40999</v>
      </c>
      <c r="D37" s="917" t="s">
        <v>408</v>
      </c>
      <c r="E37" s="907">
        <v>40999</v>
      </c>
      <c r="F37" s="918" t="str">
        <f>"Thanh toán tiền lương tháng "&amp;MONTH(E37)&amp;"/"&amp;YEAR(E37)</f>
        <v>Thanh toán tiền lương tháng 3/2012</v>
      </c>
      <c r="G37" s="919"/>
      <c r="H37" s="719"/>
      <c r="I37" s="910"/>
      <c r="J37" s="910"/>
      <c r="K37" s="920"/>
      <c r="L37" s="921" t="s">
        <v>315</v>
      </c>
      <c r="M37" s="921" t="s">
        <v>49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>x</v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</row>
    <row r="38" spans="1:27" s="689" customFormat="1" ht="15.75" customHeight="1">
      <c r="A38" s="219" t="str">
        <f>IF(B38&lt;&gt;"",IF(AND(B38&gt;=_TM1,B38&lt;=_TM2,OR(TH!L38="1111",TH!M38="1111")),TH!D38,""),"")</f>
        <v/>
      </c>
      <c r="B38" s="36">
        <f t="shared" ref="B38:B45" si="9">IF(C38&lt;&gt;"",MONTH(C38),"")</f>
        <v>4</v>
      </c>
      <c r="C38" s="917">
        <f t="shared" ref="C38:C45" si="10">E38</f>
        <v>41029</v>
      </c>
      <c r="D38" s="917" t="s">
        <v>408</v>
      </c>
      <c r="E38" s="907">
        <v>41029</v>
      </c>
      <c r="F38" s="918" t="s">
        <v>1574</v>
      </c>
      <c r="G38" s="919"/>
      <c r="H38" s="719"/>
      <c r="I38" s="910"/>
      <c r="J38" s="910"/>
      <c r="K38" s="920"/>
      <c r="L38" s="921" t="s">
        <v>194</v>
      </c>
      <c r="M38" s="921" t="s">
        <v>315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</row>
    <row r="39" spans="1:27" s="689" customFormat="1" ht="15.75" customHeight="1">
      <c r="A39" s="219" t="str">
        <f>IF(B39&lt;&gt;"",IF(AND(B39&gt;=_TM1,B39&lt;=_TM2,OR(TH!L39="1111",TH!M39="1111")),TH!D39,""),"")</f>
        <v/>
      </c>
      <c r="B39" s="36">
        <f t="shared" si="9"/>
        <v>4</v>
      </c>
      <c r="C39" s="917">
        <f t="shared" si="10"/>
        <v>41029</v>
      </c>
      <c r="D39" s="917" t="s">
        <v>408</v>
      </c>
      <c r="E39" s="907">
        <v>41029</v>
      </c>
      <c r="F39" s="918" t="str">
        <f>"Thanh toán tiền lương tháng "&amp;MONTH(E39)&amp;"/"&amp;YEAR(E39)</f>
        <v>Thanh toán tiền lương tháng 4/2012</v>
      </c>
      <c r="G39" s="919"/>
      <c r="H39" s="719"/>
      <c r="I39" s="910"/>
      <c r="J39" s="910"/>
      <c r="K39" s="920"/>
      <c r="L39" s="921" t="s">
        <v>315</v>
      </c>
      <c r="M39" s="921" t="s">
        <v>49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>x</v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</row>
    <row r="40" spans="1:27" s="689" customFormat="1" ht="15.75" customHeight="1">
      <c r="A40" s="219" t="str">
        <f>IF(B40&lt;&gt;"",IF(AND(B40&gt;=_TM1,B40&lt;=_TM2,OR(TH!L40="1111",TH!M40="1111")),TH!D40,""),"")</f>
        <v/>
      </c>
      <c r="B40" s="36">
        <f t="shared" si="9"/>
        <v>5</v>
      </c>
      <c r="C40" s="917">
        <f t="shared" si="10"/>
        <v>41060</v>
      </c>
      <c r="D40" s="917" t="s">
        <v>408</v>
      </c>
      <c r="E40" s="907">
        <v>41060</v>
      </c>
      <c r="F40" s="918" t="s">
        <v>1574</v>
      </c>
      <c r="G40" s="919"/>
      <c r="H40" s="719"/>
      <c r="I40" s="910"/>
      <c r="J40" s="910"/>
      <c r="K40" s="920"/>
      <c r="L40" s="921" t="s">
        <v>194</v>
      </c>
      <c r="M40" s="921" t="s">
        <v>315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</row>
    <row r="41" spans="1:27" s="689" customFormat="1" ht="15.75" customHeight="1">
      <c r="A41" s="219" t="str">
        <f>IF(B41&lt;&gt;"",IF(AND(B41&gt;=_TM1,B41&lt;=_TM2,OR(TH!L41="1111",TH!M41="1111")),TH!D41,""),"")</f>
        <v/>
      </c>
      <c r="B41" s="36">
        <f t="shared" si="9"/>
        <v>5</v>
      </c>
      <c r="C41" s="917">
        <f t="shared" si="10"/>
        <v>41060</v>
      </c>
      <c r="D41" s="917" t="s">
        <v>408</v>
      </c>
      <c r="E41" s="907">
        <v>41060</v>
      </c>
      <c r="F41" s="918" t="str">
        <f>"Thanh toán tiền lương tháng "&amp;MONTH(E41)&amp;"/"&amp;YEAR(E41)</f>
        <v>Thanh toán tiền lương tháng 5/2012</v>
      </c>
      <c r="G41" s="919"/>
      <c r="H41" s="719"/>
      <c r="I41" s="910"/>
      <c r="J41" s="910"/>
      <c r="K41" s="920"/>
      <c r="L41" s="921" t="s">
        <v>315</v>
      </c>
      <c r="M41" s="921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</row>
    <row r="42" spans="1:27" s="689" customFormat="1" ht="15.75" customHeight="1">
      <c r="A42" s="219" t="str">
        <f>IF(B42&lt;&gt;"",IF(AND(B42&gt;=_TM1,B42&lt;=_TM2,OR(TH!L42="1111",TH!M42="1111")),TH!D42,""),"")</f>
        <v/>
      </c>
      <c r="B42" s="36">
        <f t="shared" si="9"/>
        <v>6</v>
      </c>
      <c r="C42" s="917">
        <f t="shared" si="10"/>
        <v>41090</v>
      </c>
      <c r="D42" s="917" t="s">
        <v>408</v>
      </c>
      <c r="E42" s="907">
        <v>41090</v>
      </c>
      <c r="F42" s="918" t="s">
        <v>1574</v>
      </c>
      <c r="G42" s="919"/>
      <c r="H42" s="719"/>
      <c r="I42" s="910"/>
      <c r="J42" s="910"/>
      <c r="K42" s="920"/>
      <c r="L42" s="921" t="s">
        <v>194</v>
      </c>
      <c r="M42" s="921" t="s">
        <v>315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7" s="689" customFormat="1" ht="15.75" customHeight="1">
      <c r="A43" s="219" t="str">
        <f>IF(B43&lt;&gt;"",IF(AND(B43&gt;=_TM1,B43&lt;=_TM2,OR(TH!L43="1111",TH!M43="1111")),TH!D43,""),"")</f>
        <v/>
      </c>
      <c r="B43" s="36">
        <f t="shared" si="9"/>
        <v>6</v>
      </c>
      <c r="C43" s="917">
        <f t="shared" si="10"/>
        <v>41090</v>
      </c>
      <c r="D43" s="917" t="s">
        <v>408</v>
      </c>
      <c r="E43" s="907">
        <v>41090</v>
      </c>
      <c r="F43" s="918" t="str">
        <f>"Thanh toán tiền lương tháng "&amp;MONTH(E43)&amp;"/"&amp;YEAR(E43)</f>
        <v>Thanh toán tiền lương tháng 6/2012</v>
      </c>
      <c r="G43" s="919"/>
      <c r="H43" s="719"/>
      <c r="I43" s="910"/>
      <c r="J43" s="910"/>
      <c r="K43" s="920"/>
      <c r="L43" s="921" t="s">
        <v>315</v>
      </c>
      <c r="M43" s="921" t="s">
        <v>49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>x</v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</row>
    <row r="44" spans="1:27" s="689" customFormat="1" ht="15.75" customHeight="1">
      <c r="A44" s="219" t="str">
        <f>IF(B44&lt;&gt;"",IF(AND(B44&gt;=_TM1,B44&lt;=_TM2,OR(TH!L44="1111",TH!M44="1111")),TH!D44,""),"")</f>
        <v/>
      </c>
      <c r="B44" s="36">
        <f t="shared" si="9"/>
        <v>7</v>
      </c>
      <c r="C44" s="917">
        <f t="shared" si="10"/>
        <v>41121</v>
      </c>
      <c r="D44" s="917" t="s">
        <v>408</v>
      </c>
      <c r="E44" s="907">
        <v>41121</v>
      </c>
      <c r="F44" s="918" t="s">
        <v>1574</v>
      </c>
      <c r="G44" s="919"/>
      <c r="H44" s="719"/>
      <c r="I44" s="910"/>
      <c r="J44" s="910"/>
      <c r="K44" s="920"/>
      <c r="L44" s="921" t="s">
        <v>194</v>
      </c>
      <c r="M44" s="921" t="s">
        <v>315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</row>
    <row r="45" spans="1:27" s="689" customFormat="1" ht="15.75" customHeight="1">
      <c r="A45" s="219" t="str">
        <f>IF(B45&lt;&gt;"",IF(AND(B45&gt;=_TM1,B45&lt;=_TM2,OR(TH!L45="1111",TH!M45="1111")),TH!D45,""),"")</f>
        <v/>
      </c>
      <c r="B45" s="36">
        <f t="shared" si="9"/>
        <v>7</v>
      </c>
      <c r="C45" s="917">
        <f t="shared" si="10"/>
        <v>41121</v>
      </c>
      <c r="D45" s="917" t="s">
        <v>408</v>
      </c>
      <c r="E45" s="907">
        <v>41121</v>
      </c>
      <c r="F45" s="918" t="str">
        <f>"Thanh toán tiền lương tháng "&amp;MONTH(E45)&amp;"/"&amp;YEAR(E45)</f>
        <v>Thanh toán tiền lương tháng 7/2012</v>
      </c>
      <c r="G45" s="919"/>
      <c r="H45" s="719"/>
      <c r="I45" s="910"/>
      <c r="J45" s="910"/>
      <c r="K45" s="920"/>
      <c r="L45" s="921" t="s">
        <v>315</v>
      </c>
      <c r="M45" s="921" t="s">
        <v>49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>x</v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</row>
    <row r="46" spans="1:27" s="689" customFormat="1" ht="15.75" customHeight="1">
      <c r="A46" s="219" t="str">
        <f>IF(B46&lt;&gt;"",IF(AND(B46&gt;=_TM1,B46&lt;=_TM2,OR(TH!L46="1111",TH!M46="1111")),TH!D46,""),"")</f>
        <v/>
      </c>
      <c r="B46" s="36">
        <f t="shared" ref="B46:B53" si="11">IF(C46&lt;&gt;"",MONTH(C46),"")</f>
        <v>8</v>
      </c>
      <c r="C46" s="917">
        <f t="shared" ref="C46:C53" si="12">E46</f>
        <v>41152</v>
      </c>
      <c r="D46" s="917" t="s">
        <v>408</v>
      </c>
      <c r="E46" s="907">
        <v>41152</v>
      </c>
      <c r="F46" s="918" t="s">
        <v>1574</v>
      </c>
      <c r="G46" s="919"/>
      <c r="H46" s="719"/>
      <c r="I46" s="910"/>
      <c r="J46" s="910"/>
      <c r="K46" s="920"/>
      <c r="L46" s="921" t="s">
        <v>194</v>
      </c>
      <c r="M46" s="921" t="s">
        <v>315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</row>
    <row r="47" spans="1:27" s="689" customFormat="1" ht="15.75" customHeight="1">
      <c r="A47" s="219" t="str">
        <f>IF(B47&lt;&gt;"",IF(AND(B47&gt;=_TM1,B47&lt;=_TM2,OR(TH!L47="1111",TH!M47="1111")),TH!D47,""),"")</f>
        <v/>
      </c>
      <c r="B47" s="36">
        <f t="shared" si="11"/>
        <v>8</v>
      </c>
      <c r="C47" s="917">
        <f t="shared" si="12"/>
        <v>41152</v>
      </c>
      <c r="D47" s="917" t="s">
        <v>408</v>
      </c>
      <c r="E47" s="907">
        <v>41152</v>
      </c>
      <c r="F47" s="918" t="str">
        <f>"Thanh toán tiền lương tháng "&amp;MONTH(E47)&amp;"/"&amp;YEAR(E47)</f>
        <v>Thanh toán tiền lương tháng 8/2012</v>
      </c>
      <c r="G47" s="919"/>
      <c r="H47" s="719"/>
      <c r="I47" s="910"/>
      <c r="J47" s="910"/>
      <c r="K47" s="920"/>
      <c r="L47" s="921" t="s">
        <v>315</v>
      </c>
      <c r="M47" s="921" t="s">
        <v>49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>x</v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</row>
    <row r="48" spans="1:27" s="689" customFormat="1" ht="15.75" customHeight="1">
      <c r="A48" s="219" t="str">
        <f>IF(B48&lt;&gt;"",IF(AND(B48&gt;=_TM1,B48&lt;=_TM2,OR(TH!L48="1111",TH!M48="1111")),TH!D48,""),"")</f>
        <v/>
      </c>
      <c r="B48" s="36">
        <f t="shared" si="11"/>
        <v>9</v>
      </c>
      <c r="C48" s="917">
        <f t="shared" si="12"/>
        <v>41182</v>
      </c>
      <c r="D48" s="917" t="s">
        <v>408</v>
      </c>
      <c r="E48" s="907">
        <v>41182</v>
      </c>
      <c r="F48" s="918" t="s">
        <v>1574</v>
      </c>
      <c r="G48" s="919"/>
      <c r="H48" s="719"/>
      <c r="I48" s="910"/>
      <c r="J48" s="910"/>
      <c r="K48" s="920"/>
      <c r="L48" s="921" t="s">
        <v>194</v>
      </c>
      <c r="M48" s="921" t="s">
        <v>315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</row>
    <row r="49" spans="1:29" s="689" customFormat="1" ht="15.75" customHeight="1">
      <c r="A49" s="219" t="str">
        <f>IF(B49&lt;&gt;"",IF(AND(B49&gt;=_TM1,B49&lt;=_TM2,OR(TH!L49="1111",TH!M49="1111")),TH!D49,""),"")</f>
        <v/>
      </c>
      <c r="B49" s="36">
        <f t="shared" si="11"/>
        <v>9</v>
      </c>
      <c r="C49" s="917">
        <f t="shared" si="12"/>
        <v>41182</v>
      </c>
      <c r="D49" s="917" t="s">
        <v>408</v>
      </c>
      <c r="E49" s="907">
        <v>41182</v>
      </c>
      <c r="F49" s="918" t="str">
        <f>"Thanh toán tiền lương tháng "&amp;MONTH(E49)&amp;"/"&amp;YEAR(E49)</f>
        <v>Thanh toán tiền lương tháng 9/2012</v>
      </c>
      <c r="G49" s="919"/>
      <c r="H49" s="719"/>
      <c r="I49" s="910"/>
      <c r="J49" s="910"/>
      <c r="K49" s="920"/>
      <c r="L49" s="921" t="s">
        <v>315</v>
      </c>
      <c r="M49" s="921" t="s">
        <v>49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>x</v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</row>
    <row r="50" spans="1:29" s="689" customFormat="1" ht="15.75" customHeight="1">
      <c r="A50" s="219" t="str">
        <f>IF(B50&lt;&gt;"",IF(AND(B50&gt;=_TM1,B50&lt;=_TM2,OR(TH!L50="1111",TH!M50="1111")),TH!D50,""),"")</f>
        <v/>
      </c>
      <c r="B50" s="36">
        <f t="shared" si="11"/>
        <v>10</v>
      </c>
      <c r="C50" s="917">
        <f t="shared" si="12"/>
        <v>41213</v>
      </c>
      <c r="D50" s="917" t="s">
        <v>408</v>
      </c>
      <c r="E50" s="907">
        <v>41213</v>
      </c>
      <c r="F50" s="918" t="s">
        <v>1574</v>
      </c>
      <c r="G50" s="919"/>
      <c r="H50" s="719"/>
      <c r="I50" s="910"/>
      <c r="J50" s="910"/>
      <c r="K50" s="920"/>
      <c r="L50" s="921" t="s">
        <v>194</v>
      </c>
      <c r="M50" s="921" t="s">
        <v>315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</row>
    <row r="51" spans="1:29" s="689" customFormat="1" ht="15.75" customHeight="1">
      <c r="A51" s="219" t="str">
        <f>IF(B51&lt;&gt;"",IF(AND(B51&gt;=_TM1,B51&lt;=_TM2,OR(TH!L51="1111",TH!M51="1111")),TH!D51,""),"")</f>
        <v>CTGS</v>
      </c>
      <c r="B51" s="36">
        <f t="shared" si="11"/>
        <v>10</v>
      </c>
      <c r="C51" s="917">
        <f t="shared" si="12"/>
        <v>41213</v>
      </c>
      <c r="D51" s="917" t="s">
        <v>408</v>
      </c>
      <c r="E51" s="907">
        <v>41213</v>
      </c>
      <c r="F51" s="918" t="str">
        <f>"Thanh toán tiền lương tháng "&amp;MONTH(E51)&amp;"/"&amp;YEAR(E51)</f>
        <v>Thanh toán tiền lương tháng 10/2012</v>
      </c>
      <c r="G51" s="919"/>
      <c r="H51" s="719"/>
      <c r="I51" s="910"/>
      <c r="J51" s="910"/>
      <c r="K51" s="920"/>
      <c r="L51" s="921" t="s">
        <v>315</v>
      </c>
      <c r="M51" s="921" t="s">
        <v>49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>x</v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689" customFormat="1" ht="15.75" customHeight="1">
      <c r="A52" s="219" t="str">
        <f>IF(B52&lt;&gt;"",IF(AND(B52&gt;=_TM1,B52&lt;=_TM2,OR(TH!L52="1111",TH!M52="1111")),TH!D52,""),"")</f>
        <v/>
      </c>
      <c r="B52" s="36">
        <f t="shared" si="11"/>
        <v>11</v>
      </c>
      <c r="C52" s="917">
        <f t="shared" si="12"/>
        <v>41243</v>
      </c>
      <c r="D52" s="917" t="s">
        <v>408</v>
      </c>
      <c r="E52" s="907">
        <v>41243</v>
      </c>
      <c r="F52" s="918" t="s">
        <v>1574</v>
      </c>
      <c r="G52" s="919"/>
      <c r="H52" s="719"/>
      <c r="I52" s="910"/>
      <c r="J52" s="910"/>
      <c r="K52" s="920"/>
      <c r="L52" s="921" t="s">
        <v>194</v>
      </c>
      <c r="M52" s="921" t="s">
        <v>315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</row>
    <row r="53" spans="1:29" s="689" customFormat="1" ht="15.75" customHeight="1">
      <c r="A53" s="219" t="str">
        <f>IF(B53&lt;&gt;"",IF(AND(B53&gt;=_TM1,B53&lt;=_TM2,OR(TH!L53="1111",TH!M53="1111")),TH!D53,""),"")</f>
        <v>CTGS</v>
      </c>
      <c r="B53" s="36">
        <f t="shared" si="11"/>
        <v>11</v>
      </c>
      <c r="C53" s="917">
        <f t="shared" si="12"/>
        <v>41243</v>
      </c>
      <c r="D53" s="917" t="s">
        <v>408</v>
      </c>
      <c r="E53" s="907">
        <v>41243</v>
      </c>
      <c r="F53" s="918" t="str">
        <f>"Thanh toán tiền lương tháng "&amp;MONTH(E53)&amp;"/"&amp;YEAR(E53)</f>
        <v>Thanh toán tiền lương tháng 11/2012</v>
      </c>
      <c r="G53" s="919"/>
      <c r="H53" s="719"/>
      <c r="I53" s="910"/>
      <c r="J53" s="910"/>
      <c r="K53" s="920"/>
      <c r="L53" s="921" t="s">
        <v>315</v>
      </c>
      <c r="M53" s="921" t="s">
        <v>49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>x</v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</row>
    <row r="54" spans="1:29" s="689" customFormat="1" ht="15.75" customHeight="1">
      <c r="A54" s="219" t="str">
        <f>IF(B54&lt;&gt;"",IF(AND(B54&gt;=_TM1,B54&lt;=_TM2,OR(TH!L54="1111",TH!M54="1111")),TH!D54,""),"")</f>
        <v/>
      </c>
      <c r="B54" s="36">
        <f t="shared" ref="B54:B55" si="13">IF(C54&lt;&gt;"",MONTH(C54),"")</f>
        <v>12</v>
      </c>
      <c r="C54" s="917">
        <f t="shared" ref="C54:C55" si="14">E54</f>
        <v>41274</v>
      </c>
      <c r="D54" s="917" t="s">
        <v>408</v>
      </c>
      <c r="E54" s="907">
        <v>41274</v>
      </c>
      <c r="F54" s="918" t="s">
        <v>1574</v>
      </c>
      <c r="G54" s="919"/>
      <c r="H54" s="719"/>
      <c r="I54" s="910"/>
      <c r="J54" s="910"/>
      <c r="K54" s="920"/>
      <c r="L54" s="921" t="s">
        <v>194</v>
      </c>
      <c r="M54" s="921" t="s">
        <v>315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</row>
    <row r="55" spans="1:29" s="689" customFormat="1" ht="15.75" customHeight="1">
      <c r="A55" s="219" t="str">
        <f>IF(B55&lt;&gt;"",IF(AND(B55&gt;=_TM1,B55&lt;=_TM2,OR(TH!L55="1111",TH!M55="1111")),TH!D55,""),"")</f>
        <v>CTGS</v>
      </c>
      <c r="B55" s="36">
        <f t="shared" si="13"/>
        <v>12</v>
      </c>
      <c r="C55" s="917">
        <f t="shared" si="14"/>
        <v>41274</v>
      </c>
      <c r="D55" s="917" t="s">
        <v>408</v>
      </c>
      <c r="E55" s="907">
        <v>41274</v>
      </c>
      <c r="F55" s="918" t="str">
        <f>"Thanh toán tiền lương tháng "&amp;MONTH(E55)&amp;"/"&amp;YEAR(E55)</f>
        <v>Thanh toán tiền lương tháng 12/2012</v>
      </c>
      <c r="G55" s="919"/>
      <c r="H55" s="719"/>
      <c r="I55" s="910"/>
      <c r="J55" s="910"/>
      <c r="K55" s="920"/>
      <c r="L55" s="921" t="s">
        <v>315</v>
      </c>
      <c r="M55" s="921" t="s">
        <v>49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>x</v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</row>
    <row r="56" spans="1:29" s="689" customFormat="1" ht="15.75" customHeight="1">
      <c r="A56" s="219" t="str">
        <f>IF(B56&lt;&gt;"",IF(AND(B56&gt;=_TM1,B56&lt;=_TM2,OR(TH!L56="1111",TH!M56="1111")),TH!D56,""),"")</f>
        <v/>
      </c>
      <c r="B56" s="36">
        <f t="shared" ref="B56:B119" si="15">IF(C56&lt;&gt;"",MONTH(C56),"")</f>
        <v>1</v>
      </c>
      <c r="C56" s="195">
        <v>40914</v>
      </c>
      <c r="D56" s="195" t="s">
        <v>404</v>
      </c>
      <c r="E56" s="195">
        <v>40914</v>
      </c>
      <c r="F56" s="203" t="s">
        <v>406</v>
      </c>
      <c r="G56" s="700" t="s">
        <v>401</v>
      </c>
      <c r="H56" s="7" t="s">
        <v>1553</v>
      </c>
      <c r="I56" s="277"/>
      <c r="J56" s="277"/>
      <c r="K56" s="698">
        <v>100000000</v>
      </c>
      <c r="L56" s="699" t="s">
        <v>24</v>
      </c>
      <c r="M56" s="699" t="s">
        <v>311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>x</v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</row>
    <row r="57" spans="1:29" s="689" customFormat="1" ht="15.75" customHeight="1">
      <c r="A57" s="219" t="str">
        <f>IF(B57&lt;&gt;"",IF(AND(B57&gt;=_TM1,B57&lt;=_TM2,OR(TH!L57="1111",TH!M57="1111")),TH!D57,""),"")</f>
        <v/>
      </c>
      <c r="B57" s="36">
        <f t="shared" si="15"/>
        <v>1</v>
      </c>
      <c r="C57" s="195">
        <v>40914</v>
      </c>
      <c r="D57" s="195" t="s">
        <v>463</v>
      </c>
      <c r="E57" s="195">
        <v>40914</v>
      </c>
      <c r="F57" s="203" t="s">
        <v>550</v>
      </c>
      <c r="G57" s="700" t="s">
        <v>401</v>
      </c>
      <c r="H57" s="7" t="s">
        <v>452</v>
      </c>
      <c r="I57" s="277"/>
      <c r="J57" s="277"/>
      <c r="K57" s="698">
        <v>20000000</v>
      </c>
      <c r="L57" s="699" t="s">
        <v>49</v>
      </c>
      <c r="M57" s="699" t="s">
        <v>24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>x</v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>x</v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</row>
    <row r="58" spans="1:29" s="689" customFormat="1" ht="15.75" customHeight="1">
      <c r="A58" s="219" t="str">
        <f>IF(B58&lt;&gt;"",IF(AND(B58&gt;=_TM1,B58&lt;=_TM2,OR(TH!L58="1111",TH!M58="1111")),TH!D58,""),"")</f>
        <v/>
      </c>
      <c r="B58" s="36">
        <f t="shared" si="15"/>
        <v>1</v>
      </c>
      <c r="C58" s="195">
        <v>40918</v>
      </c>
      <c r="D58" s="195" t="s">
        <v>404</v>
      </c>
      <c r="E58" s="37">
        <v>40918</v>
      </c>
      <c r="F58" s="203" t="s">
        <v>406</v>
      </c>
      <c r="G58" s="833" t="s">
        <v>401</v>
      </c>
      <c r="H58" s="7" t="s">
        <v>1131</v>
      </c>
      <c r="I58" s="277"/>
      <c r="J58" s="277"/>
      <c r="K58" s="38">
        <v>54530300</v>
      </c>
      <c r="L58" s="699" t="s">
        <v>24</v>
      </c>
      <c r="M58" s="699" t="s">
        <v>311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>x</v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</row>
    <row r="59" spans="1:29" s="689" customFormat="1" ht="15.75" customHeight="1">
      <c r="A59" s="219" t="str">
        <f>IF(B59&lt;&gt;"",IF(AND(B59&gt;=_TM1,B59&lt;=_TM2,OR(TH!L59="1111",TH!M59="1111")),TH!D59,""),"")</f>
        <v/>
      </c>
      <c r="B59" s="36">
        <f t="shared" si="15"/>
        <v>1</v>
      </c>
      <c r="C59" s="195">
        <v>40919</v>
      </c>
      <c r="D59" s="195" t="s">
        <v>464</v>
      </c>
      <c r="E59" s="37">
        <v>40919</v>
      </c>
      <c r="F59" s="203" t="s">
        <v>550</v>
      </c>
      <c r="G59" s="833" t="s">
        <v>401</v>
      </c>
      <c r="H59" s="7" t="s">
        <v>452</v>
      </c>
      <c r="I59" s="277"/>
      <c r="J59" s="277"/>
      <c r="K59" s="38">
        <v>130000000</v>
      </c>
      <c r="L59" s="699" t="s">
        <v>49</v>
      </c>
      <c r="M59" s="699" t="s">
        <v>24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>x</v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>x</v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</row>
    <row r="60" spans="1:29" s="689" customFormat="1" ht="15.75" customHeight="1">
      <c r="A60" s="219" t="str">
        <f>IF(B60&lt;&gt;"",IF(AND(B60&gt;=_TM1,B60&lt;=_TM2,OR(TH!L60="1111",TH!M60="1111")),TH!D60,""),"")</f>
        <v/>
      </c>
      <c r="B60" s="36">
        <f t="shared" si="15"/>
        <v>1</v>
      </c>
      <c r="C60" s="195">
        <v>40919</v>
      </c>
      <c r="D60" s="195" t="s">
        <v>405</v>
      </c>
      <c r="E60" s="37">
        <v>40919</v>
      </c>
      <c r="F60" s="203" t="s">
        <v>407</v>
      </c>
      <c r="G60" s="577" t="s">
        <v>401</v>
      </c>
      <c r="H60" s="7"/>
      <c r="I60" s="277"/>
      <c r="J60" s="277"/>
      <c r="K60" s="38">
        <v>10000</v>
      </c>
      <c r="L60" s="699" t="s">
        <v>87</v>
      </c>
      <c r="M60" s="699" t="s">
        <v>24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>x</v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689" customFormat="1" ht="15.75" customHeight="1">
      <c r="A61" s="219" t="str">
        <f>IF(B61&lt;&gt;"",IF(AND(B61&gt;=_TM1,B61&lt;=_TM2,OR(TH!L61="1111",TH!M61="1111")),TH!D61,""),"")</f>
        <v/>
      </c>
      <c r="B61" s="36">
        <f t="shared" si="15"/>
        <v>1</v>
      </c>
      <c r="C61" s="195">
        <v>40919</v>
      </c>
      <c r="D61" s="195" t="s">
        <v>405</v>
      </c>
      <c r="E61" s="37">
        <v>40919</v>
      </c>
      <c r="F61" s="203" t="s">
        <v>455</v>
      </c>
      <c r="G61" s="577" t="s">
        <v>401</v>
      </c>
      <c r="H61" s="7"/>
      <c r="I61" s="277"/>
      <c r="J61" s="277"/>
      <c r="K61" s="38">
        <v>19794013</v>
      </c>
      <c r="L61" s="699" t="s">
        <v>8</v>
      </c>
      <c r="M61" s="699" t="s">
        <v>24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>x</v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</row>
    <row r="62" spans="1:29" s="689" customFormat="1" ht="15.75" customHeight="1">
      <c r="A62" s="219" t="str">
        <f>IF(B62&lt;&gt;"",IF(AND(B62&gt;=_TM1,B62&lt;=_TM2,OR(TH!L62="1111",TH!M62="1111")),TH!D62,""),"")</f>
        <v/>
      </c>
      <c r="B62" s="36">
        <f t="shared" si="15"/>
        <v>1</v>
      </c>
      <c r="C62" s="195">
        <v>40921</v>
      </c>
      <c r="D62" s="195" t="s">
        <v>404</v>
      </c>
      <c r="E62" s="37">
        <v>40921</v>
      </c>
      <c r="F62" s="40" t="s">
        <v>406</v>
      </c>
      <c r="G62" s="577" t="s">
        <v>401</v>
      </c>
      <c r="H62" s="7" t="s">
        <v>1553</v>
      </c>
      <c r="I62" s="277"/>
      <c r="J62" s="277"/>
      <c r="K62" s="834">
        <v>17694269</v>
      </c>
      <c r="L62" s="699" t="s">
        <v>24</v>
      </c>
      <c r="M62" s="699" t="s">
        <v>311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>x</v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</row>
    <row r="63" spans="1:29" s="689" customFormat="1" ht="15.75" customHeight="1">
      <c r="A63" s="219" t="str">
        <f>IF(B63&lt;&gt;"",IF(AND(B63&gt;=_TM1,B63&lt;=_TM2,OR(TH!L63="1111",TH!M63="1111")),TH!D63,""),"")</f>
        <v/>
      </c>
      <c r="B63" s="36">
        <f t="shared" si="15"/>
        <v>1</v>
      </c>
      <c r="C63" s="195">
        <v>40921</v>
      </c>
      <c r="D63" s="195" t="s">
        <v>465</v>
      </c>
      <c r="E63" s="37">
        <v>40921</v>
      </c>
      <c r="F63" s="40" t="s">
        <v>551</v>
      </c>
      <c r="G63" s="577" t="s">
        <v>552</v>
      </c>
      <c r="H63" s="47" t="s">
        <v>553</v>
      </c>
      <c r="I63" s="277"/>
      <c r="J63" s="277"/>
      <c r="K63" s="38">
        <v>900000</v>
      </c>
      <c r="L63" s="699" t="s">
        <v>194</v>
      </c>
      <c r="M63" s="699" t="s">
        <v>49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>x</v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B63" s="226"/>
      <c r="AC63" s="226"/>
    </row>
    <row r="64" spans="1:29" s="689" customFormat="1" ht="15.75" customHeight="1">
      <c r="A64" s="219" t="str">
        <f>IF(B64&lt;&gt;"",IF(AND(B64&gt;=_TM1,B64&lt;=_TM2,OR(TH!L64="1111",TH!M64="1111")),TH!D64,""),"")</f>
        <v/>
      </c>
      <c r="B64" s="36">
        <f t="shared" si="15"/>
        <v>1</v>
      </c>
      <c r="C64" s="195">
        <v>40921</v>
      </c>
      <c r="D64" s="195" t="s">
        <v>465</v>
      </c>
      <c r="E64" s="37">
        <v>40921</v>
      </c>
      <c r="F64" s="40" t="s">
        <v>413</v>
      </c>
      <c r="G64" s="577" t="s">
        <v>552</v>
      </c>
      <c r="H64" s="47" t="s">
        <v>553</v>
      </c>
      <c r="I64" s="277"/>
      <c r="J64" s="277"/>
      <c r="K64" s="38">
        <v>90000</v>
      </c>
      <c r="L64" s="699" t="s">
        <v>9</v>
      </c>
      <c r="M64" s="699" t="s">
        <v>49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>x</v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  <c r="AB64" s="226"/>
      <c r="AC64" s="226"/>
    </row>
    <row r="65" spans="1:29" s="689" customFormat="1" ht="15.75" customHeight="1">
      <c r="A65" s="219" t="str">
        <f>IF(B65&lt;&gt;"",IF(AND(B65&gt;=_TM1,B65&lt;=_TM2,OR(TH!L65="1111",TH!M65="1111")),TH!D65,""),"")</f>
        <v/>
      </c>
      <c r="B65" s="36">
        <f t="shared" si="15"/>
        <v>1</v>
      </c>
      <c r="C65" s="195">
        <v>40924</v>
      </c>
      <c r="D65" s="195" t="s">
        <v>513</v>
      </c>
      <c r="E65" s="195">
        <v>40924</v>
      </c>
      <c r="F65" s="203" t="s">
        <v>554</v>
      </c>
      <c r="G65" s="833" t="s">
        <v>555</v>
      </c>
      <c r="H65" s="7" t="s">
        <v>487</v>
      </c>
      <c r="I65" s="277">
        <v>100</v>
      </c>
      <c r="J65" s="277">
        <v>16988</v>
      </c>
      <c r="K65" s="698">
        <v>1698800</v>
      </c>
      <c r="L65" s="699" t="s">
        <v>186</v>
      </c>
      <c r="M65" s="699" t="s">
        <v>8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  <c r="AB65" s="226"/>
      <c r="AC65" s="226" t="str">
        <f>IF(ISNA(VLOOKUP(F65,NXT!$C$18:$C$347,1,0)),x,"")</f>
        <v/>
      </c>
    </row>
    <row r="66" spans="1:29" s="689" customFormat="1" ht="15.75" customHeight="1">
      <c r="A66" s="219" t="str">
        <f>IF(B66&lt;&gt;"",IF(AND(B66&gt;=_TM1,B66&lt;=_TM2,OR(TH!L66="1111",TH!M66="1111")),TH!D66,""),"")</f>
        <v/>
      </c>
      <c r="B66" s="36">
        <f t="shared" si="15"/>
        <v>1</v>
      </c>
      <c r="C66" s="195">
        <v>40924</v>
      </c>
      <c r="D66" s="195" t="s">
        <v>513</v>
      </c>
      <c r="E66" s="195">
        <v>40924</v>
      </c>
      <c r="F66" s="203" t="s">
        <v>556</v>
      </c>
      <c r="G66" s="833" t="s">
        <v>555</v>
      </c>
      <c r="H66" s="7" t="s">
        <v>487</v>
      </c>
      <c r="I66" s="277">
        <v>150</v>
      </c>
      <c r="J66" s="277">
        <v>17097</v>
      </c>
      <c r="K66" s="698">
        <v>2564550</v>
      </c>
      <c r="L66" s="699" t="s">
        <v>186</v>
      </c>
      <c r="M66" s="699" t="s">
        <v>8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  <c r="AB66" s="226"/>
      <c r="AC66" s="226" t="str">
        <f>IF(ISNA(VLOOKUP(F66,NXT!$C$18:$C$347,1,0)),x,"")</f>
        <v/>
      </c>
    </row>
    <row r="67" spans="1:29" s="689" customFormat="1" ht="15.75" customHeight="1">
      <c r="A67" s="219" t="str">
        <f>IF(B67&lt;&gt;"",IF(AND(B67&gt;=_TM1,B67&lt;=_TM2,OR(TH!L67="1111",TH!M67="1111")),TH!D67,""),"")</f>
        <v/>
      </c>
      <c r="B67" s="36">
        <f t="shared" si="15"/>
        <v>1</v>
      </c>
      <c r="C67" s="195">
        <v>40924</v>
      </c>
      <c r="D67" s="195" t="s">
        <v>513</v>
      </c>
      <c r="E67" s="37">
        <v>40924</v>
      </c>
      <c r="F67" s="40" t="s">
        <v>557</v>
      </c>
      <c r="G67" s="577" t="s">
        <v>555</v>
      </c>
      <c r="H67" s="7" t="s">
        <v>487</v>
      </c>
      <c r="I67" s="277">
        <v>175</v>
      </c>
      <c r="J67" s="277">
        <v>17533</v>
      </c>
      <c r="K67" s="38">
        <v>3068275</v>
      </c>
      <c r="L67" s="699" t="s">
        <v>186</v>
      </c>
      <c r="M67" s="699" t="s">
        <v>8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  <c r="AC67" s="226" t="str">
        <f>IF(ISNA(VLOOKUP(F67,NXT!$C$18:$C$347,1,0)),x,"")</f>
        <v/>
      </c>
    </row>
    <row r="68" spans="1:29" s="689" customFormat="1" ht="15.75" customHeight="1">
      <c r="A68" s="219" t="str">
        <f>IF(B68&lt;&gt;"",IF(AND(B68&gt;=_TM1,B68&lt;=_TM2,OR(TH!L68="1111",TH!M68="1111")),TH!D68,""),"")</f>
        <v/>
      </c>
      <c r="B68" s="36">
        <f t="shared" si="15"/>
        <v>1</v>
      </c>
      <c r="C68" s="195">
        <v>40924</v>
      </c>
      <c r="D68" s="195" t="s">
        <v>513</v>
      </c>
      <c r="E68" s="37">
        <v>40924</v>
      </c>
      <c r="F68" s="40" t="s">
        <v>558</v>
      </c>
      <c r="G68" s="577" t="s">
        <v>555</v>
      </c>
      <c r="H68" s="7" t="s">
        <v>487</v>
      </c>
      <c r="I68" s="277">
        <v>210</v>
      </c>
      <c r="J68" s="277">
        <v>26898</v>
      </c>
      <c r="K68" s="38">
        <v>5648580</v>
      </c>
      <c r="L68" s="699" t="s">
        <v>9</v>
      </c>
      <c r="M68" s="699" t="s">
        <v>8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</row>
    <row r="69" spans="1:29" s="689" customFormat="1" ht="15.75" customHeight="1">
      <c r="A69" s="219" t="str">
        <f>IF(B69&lt;&gt;"",IF(AND(B69&gt;=_TM1,B69&lt;=_TM2,OR(TH!L69="1111",TH!M69="1111")),TH!D69,""),"")</f>
        <v/>
      </c>
      <c r="B69" s="36">
        <f t="shared" si="15"/>
        <v>1</v>
      </c>
      <c r="C69" s="195">
        <v>40924</v>
      </c>
      <c r="D69" s="195" t="s">
        <v>513</v>
      </c>
      <c r="E69" s="195">
        <v>40924</v>
      </c>
      <c r="F69" s="203" t="s">
        <v>559</v>
      </c>
      <c r="G69" s="833" t="s">
        <v>555</v>
      </c>
      <c r="H69" s="7" t="s">
        <v>487</v>
      </c>
      <c r="I69" s="277">
        <v>420</v>
      </c>
      <c r="J69" s="277">
        <v>17139</v>
      </c>
      <c r="K69" s="698">
        <v>7198380</v>
      </c>
      <c r="L69" s="699" t="s">
        <v>186</v>
      </c>
      <c r="M69" s="699" t="s">
        <v>8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 t="str">
        <f>IF(ISNA(VLOOKUP(F69,NXT!$C$18:$C$347,1,0)),x,"")</f>
        <v/>
      </c>
    </row>
    <row r="70" spans="1:29" s="689" customFormat="1" ht="15.75" customHeight="1">
      <c r="A70" s="219" t="str">
        <f>IF(B70&lt;&gt;"",IF(AND(B70&gt;=_TM1,B70&lt;=_TM2,OR(TH!L70="1111",TH!M70="1111")),TH!D70,""),"")</f>
        <v/>
      </c>
      <c r="B70" s="36">
        <f t="shared" si="15"/>
        <v>1</v>
      </c>
      <c r="C70" s="195">
        <v>40924</v>
      </c>
      <c r="D70" s="195" t="s">
        <v>513</v>
      </c>
      <c r="E70" s="195">
        <v>40924</v>
      </c>
      <c r="F70" s="203" t="s">
        <v>560</v>
      </c>
      <c r="G70" s="833" t="s">
        <v>555</v>
      </c>
      <c r="H70" s="7" t="s">
        <v>487</v>
      </c>
      <c r="I70" s="277">
        <v>100</v>
      </c>
      <c r="J70" s="277">
        <v>25616</v>
      </c>
      <c r="K70" s="698">
        <v>2561600</v>
      </c>
      <c r="L70" s="699" t="s">
        <v>186</v>
      </c>
      <c r="M70" s="699" t="s">
        <v>8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  <c r="AB70" s="226"/>
      <c r="AC70" s="226" t="str">
        <f>IF(ISNA(VLOOKUP(F70,NXT!$C$18:$C$347,1,0)),x,"")</f>
        <v/>
      </c>
    </row>
    <row r="71" spans="1:29" s="689" customFormat="1" ht="15.75" customHeight="1">
      <c r="A71" s="219" t="str">
        <f>IF(B71&lt;&gt;"",IF(AND(B71&gt;=_TM1,B71&lt;=_TM2,OR(TH!L71="1111",TH!M71="1111")),TH!D71,""),"")</f>
        <v/>
      </c>
      <c r="B71" s="36">
        <f t="shared" si="15"/>
        <v>1</v>
      </c>
      <c r="C71" s="195">
        <v>40924</v>
      </c>
      <c r="D71" s="195" t="s">
        <v>513</v>
      </c>
      <c r="E71" s="195">
        <v>40924</v>
      </c>
      <c r="F71" s="203" t="s">
        <v>561</v>
      </c>
      <c r="G71" s="833" t="s">
        <v>555</v>
      </c>
      <c r="H71" s="7" t="s">
        <v>487</v>
      </c>
      <c r="I71" s="277">
        <v>100</v>
      </c>
      <c r="J71" s="277">
        <v>11435</v>
      </c>
      <c r="K71" s="698">
        <v>1143500</v>
      </c>
      <c r="L71" s="699" t="s">
        <v>186</v>
      </c>
      <c r="M71" s="699" t="s">
        <v>8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  <c r="AC71" s="226" t="str">
        <f>IF(ISNA(VLOOKUP(F71,NXT!$C$18:$C$347,1,0)),x,"")</f>
        <v/>
      </c>
    </row>
    <row r="72" spans="1:29" s="689" customFormat="1" ht="15.75" customHeight="1">
      <c r="A72" s="219" t="str">
        <f>IF(B72&lt;&gt;"",IF(AND(B72&gt;=_TM1,B72&lt;=_TM2,OR(TH!L72="1111",TH!M72="1111")),TH!D72,""),"")</f>
        <v/>
      </c>
      <c r="B72" s="36">
        <f t="shared" si="15"/>
        <v>1</v>
      </c>
      <c r="C72" s="195">
        <v>40924</v>
      </c>
      <c r="D72" s="195" t="s">
        <v>513</v>
      </c>
      <c r="E72" s="195">
        <v>40924</v>
      </c>
      <c r="F72" s="203" t="s">
        <v>562</v>
      </c>
      <c r="G72" s="833" t="s">
        <v>555</v>
      </c>
      <c r="H72" s="7" t="s">
        <v>487</v>
      </c>
      <c r="I72" s="277">
        <v>100</v>
      </c>
      <c r="J72" s="277">
        <v>24206</v>
      </c>
      <c r="K72" s="698">
        <v>2420600</v>
      </c>
      <c r="L72" s="699" t="s">
        <v>186</v>
      </c>
      <c r="M72" s="699" t="s">
        <v>8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  <c r="AC72" s="226" t="str">
        <f>IF(ISNA(VLOOKUP(F72,NXT!$C$18:$C$347,1,0)),x,"")</f>
        <v/>
      </c>
    </row>
    <row r="73" spans="1:29" s="689" customFormat="1" ht="15.75" customHeight="1">
      <c r="A73" s="219" t="str">
        <f>IF(B73&lt;&gt;"",IF(AND(B73&gt;=_TM1,B73&lt;=_TM2,OR(TH!L73="1111",TH!M73="1111")),TH!D73,""),"")</f>
        <v/>
      </c>
      <c r="B73" s="36">
        <f t="shared" si="15"/>
        <v>1</v>
      </c>
      <c r="C73" s="195">
        <v>40924</v>
      </c>
      <c r="D73" s="195" t="s">
        <v>513</v>
      </c>
      <c r="E73" s="195">
        <v>40924</v>
      </c>
      <c r="F73" s="203" t="s">
        <v>563</v>
      </c>
      <c r="G73" s="833" t="s">
        <v>555</v>
      </c>
      <c r="H73" s="7" t="s">
        <v>487</v>
      </c>
      <c r="I73" s="277">
        <v>140</v>
      </c>
      <c r="J73" s="277">
        <v>20059</v>
      </c>
      <c r="K73" s="698">
        <v>2808260</v>
      </c>
      <c r="L73" s="699" t="s">
        <v>186</v>
      </c>
      <c r="M73" s="699" t="s">
        <v>8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  <c r="AC73" s="226" t="str">
        <f>IF(ISNA(VLOOKUP(F73,NXT!$C$18:$C$347,1,0)),x,"")</f>
        <v/>
      </c>
    </row>
    <row r="74" spans="1:29" s="689" customFormat="1" ht="15.75" customHeight="1">
      <c r="A74" s="219" t="str">
        <f>IF(B74&lt;&gt;"",IF(AND(B74&gt;=_TM1,B74&lt;=_TM2,OR(TH!L74="1111",TH!M74="1111")),TH!D74,""),"")</f>
        <v/>
      </c>
      <c r="B74" s="36">
        <f t="shared" si="15"/>
        <v>1</v>
      </c>
      <c r="C74" s="195">
        <v>40924</v>
      </c>
      <c r="D74" s="195" t="s">
        <v>513</v>
      </c>
      <c r="E74" s="195">
        <v>40924</v>
      </c>
      <c r="F74" s="203" t="s">
        <v>483</v>
      </c>
      <c r="G74" s="833" t="s">
        <v>555</v>
      </c>
      <c r="H74" s="7" t="s">
        <v>487</v>
      </c>
      <c r="I74" s="277"/>
      <c r="J74" s="277"/>
      <c r="K74" s="38">
        <v>2911255</v>
      </c>
      <c r="L74" s="699" t="s">
        <v>9</v>
      </c>
      <c r="M74" s="699" t="s">
        <v>8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</row>
    <row r="75" spans="1:29" s="689" customFormat="1" ht="15.75" customHeight="1">
      <c r="A75" s="219" t="str">
        <f>IF(B75&lt;&gt;"",IF(AND(B75&gt;=_TM1,B75&lt;=_TM2,OR(TH!L75="1111",TH!M75="1111")),TH!D75,""),"")</f>
        <v/>
      </c>
      <c r="B75" s="36">
        <f t="shared" si="15"/>
        <v>1</v>
      </c>
      <c r="C75" s="195">
        <v>40924</v>
      </c>
      <c r="D75" s="195" t="s">
        <v>514</v>
      </c>
      <c r="E75" s="195">
        <v>40924</v>
      </c>
      <c r="F75" s="203" t="s">
        <v>564</v>
      </c>
      <c r="G75" s="700" t="s">
        <v>565</v>
      </c>
      <c r="H75" s="7" t="s">
        <v>487</v>
      </c>
      <c r="I75" s="277">
        <v>100</v>
      </c>
      <c r="J75" s="277">
        <v>21766</v>
      </c>
      <c r="K75" s="698">
        <v>2176600</v>
      </c>
      <c r="L75" s="699" t="s">
        <v>186</v>
      </c>
      <c r="M75" s="699" t="s">
        <v>8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C75" s="226" t="str">
        <f>IF(ISNA(VLOOKUP(F75,NXT!$C$18:$C$347,1,0)),x,"")</f>
        <v/>
      </c>
    </row>
    <row r="76" spans="1:29" s="689" customFormat="1" ht="15.75" customHeight="1">
      <c r="A76" s="219" t="str">
        <f>IF(B76&lt;&gt;"",IF(AND(B76&gt;=_TM1,B76&lt;=_TM2,OR(TH!L76="1111",TH!M76="1111")),TH!D76,""),"")</f>
        <v/>
      </c>
      <c r="B76" s="36">
        <f t="shared" si="15"/>
        <v>1</v>
      </c>
      <c r="C76" s="195">
        <v>40924</v>
      </c>
      <c r="D76" s="195" t="s">
        <v>514</v>
      </c>
      <c r="E76" s="195">
        <v>40924</v>
      </c>
      <c r="F76" s="203" t="s">
        <v>566</v>
      </c>
      <c r="G76" s="833" t="s">
        <v>565</v>
      </c>
      <c r="H76" s="7" t="s">
        <v>487</v>
      </c>
      <c r="I76" s="277">
        <v>1200</v>
      </c>
      <c r="J76" s="277">
        <v>8768</v>
      </c>
      <c r="K76" s="698">
        <v>10521600</v>
      </c>
      <c r="L76" s="699" t="s">
        <v>186</v>
      </c>
      <c r="M76" s="699" t="s">
        <v>8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 t="str">
        <f>IF(ISNA(VLOOKUP(F76,NXT!$C$18:$C$347,1,0)),x,"")</f>
        <v/>
      </c>
    </row>
    <row r="77" spans="1:29" s="689" customFormat="1" ht="15.75" customHeight="1">
      <c r="A77" s="219" t="str">
        <f>IF(B77&lt;&gt;"",IF(AND(B77&gt;=_TM1,B77&lt;=_TM2,OR(TH!L77="1111",TH!M77="1111")),TH!D77,""),"")</f>
        <v/>
      </c>
      <c r="B77" s="36">
        <f t="shared" si="15"/>
        <v>1</v>
      </c>
      <c r="C77" s="195">
        <v>40924</v>
      </c>
      <c r="D77" s="195" t="s">
        <v>514</v>
      </c>
      <c r="E77" s="195">
        <v>40924</v>
      </c>
      <c r="F77" s="203" t="s">
        <v>567</v>
      </c>
      <c r="G77" s="833" t="s">
        <v>565</v>
      </c>
      <c r="H77" s="7" t="s">
        <v>487</v>
      </c>
      <c r="I77" s="277">
        <v>300</v>
      </c>
      <c r="J77" s="277">
        <v>13471</v>
      </c>
      <c r="K77" s="698">
        <v>4041300</v>
      </c>
      <c r="L77" s="699" t="s">
        <v>186</v>
      </c>
      <c r="M77" s="699" t="s">
        <v>8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  <c r="AB77" s="226"/>
      <c r="AC77" s="226" t="str">
        <f>IF(ISNA(VLOOKUP(F77,NXT!$C$18:$C$347,1,0)),x,"")</f>
        <v/>
      </c>
    </row>
    <row r="78" spans="1:29" s="689" customFormat="1" ht="15.75" customHeight="1">
      <c r="A78" s="219" t="str">
        <f>IF(B78&lt;&gt;"",IF(AND(B78&gt;=_TM1,B78&lt;=_TM2,OR(TH!L78="1111",TH!M78="1111")),TH!D78,""),"")</f>
        <v/>
      </c>
      <c r="B78" s="36">
        <f t="shared" si="15"/>
        <v>1</v>
      </c>
      <c r="C78" s="195">
        <v>40924</v>
      </c>
      <c r="D78" s="195" t="s">
        <v>514</v>
      </c>
      <c r="E78" s="195">
        <v>40924</v>
      </c>
      <c r="F78" s="203" t="s">
        <v>568</v>
      </c>
      <c r="G78" s="833" t="s">
        <v>565</v>
      </c>
      <c r="H78" s="7" t="s">
        <v>487</v>
      </c>
      <c r="I78" s="277">
        <v>223</v>
      </c>
      <c r="J78" s="277">
        <v>12207</v>
      </c>
      <c r="K78" s="698">
        <v>2722161</v>
      </c>
      <c r="L78" s="699" t="s">
        <v>186</v>
      </c>
      <c r="M78" s="699" t="s">
        <v>8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  <c r="AB78" s="226"/>
      <c r="AC78" s="226" t="str">
        <f>IF(ISNA(VLOOKUP(F78,NXT!$C$18:$C$347,1,0)),x,"")</f>
        <v/>
      </c>
    </row>
    <row r="79" spans="1:29" s="689" customFormat="1" ht="15.75" customHeight="1">
      <c r="A79" s="219" t="str">
        <f>IF(B79&lt;&gt;"",IF(AND(B79&gt;=_TM1,B79&lt;=_TM2,OR(TH!L79="1111",TH!M79="1111")),TH!D79,""),"")</f>
        <v/>
      </c>
      <c r="B79" s="36">
        <f t="shared" si="15"/>
        <v>1</v>
      </c>
      <c r="C79" s="195">
        <v>40924</v>
      </c>
      <c r="D79" s="195" t="s">
        <v>514</v>
      </c>
      <c r="E79" s="195">
        <v>40924</v>
      </c>
      <c r="F79" s="203" t="s">
        <v>569</v>
      </c>
      <c r="G79" s="833" t="s">
        <v>565</v>
      </c>
      <c r="H79" s="7" t="s">
        <v>487</v>
      </c>
      <c r="I79" s="277">
        <v>272</v>
      </c>
      <c r="J79" s="277">
        <v>13471</v>
      </c>
      <c r="K79" s="698">
        <v>3664112</v>
      </c>
      <c r="L79" s="699" t="s">
        <v>186</v>
      </c>
      <c r="M79" s="699" t="s">
        <v>8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 t="str">
        <f>IF(ISNA(VLOOKUP(F79,NXT!$C$18:$C$347,1,0)),x,"")</f>
        <v/>
      </c>
    </row>
    <row r="80" spans="1:29" s="689" customFormat="1" ht="15.75" customHeight="1">
      <c r="A80" s="219" t="str">
        <f>IF(B80&lt;&gt;"",IF(AND(B80&gt;=_TM1,B80&lt;=_TM2,OR(TH!L80="1111",TH!M80="1111")),TH!D80,""),"")</f>
        <v/>
      </c>
      <c r="B80" s="36">
        <f t="shared" si="15"/>
        <v>1</v>
      </c>
      <c r="C80" s="195">
        <v>40924</v>
      </c>
      <c r="D80" s="195" t="s">
        <v>514</v>
      </c>
      <c r="E80" s="195">
        <v>40924</v>
      </c>
      <c r="F80" s="203" t="s">
        <v>570</v>
      </c>
      <c r="G80" s="833" t="s">
        <v>565</v>
      </c>
      <c r="H80" s="7" t="s">
        <v>487</v>
      </c>
      <c r="I80" s="277">
        <v>100</v>
      </c>
      <c r="J80" s="277">
        <v>31451</v>
      </c>
      <c r="K80" s="698">
        <v>3145100</v>
      </c>
      <c r="L80" s="699" t="s">
        <v>186</v>
      </c>
      <c r="M80" s="699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 t="str">
        <f>IF(ISNA(VLOOKUP(F80,NXT!$C$18:$C$347,1,0)),x,"")</f>
        <v/>
      </c>
    </row>
    <row r="81" spans="1:29" s="689" customFormat="1" ht="15.75" customHeight="1">
      <c r="A81" s="219" t="str">
        <f>IF(B81&lt;&gt;"",IF(AND(B81&gt;=_TM1,B81&lt;=_TM2,OR(TH!L81="1111",TH!M81="1111")),TH!D81,""),"")</f>
        <v/>
      </c>
      <c r="B81" s="36">
        <f t="shared" si="15"/>
        <v>1</v>
      </c>
      <c r="C81" s="195">
        <v>40924</v>
      </c>
      <c r="D81" s="195" t="s">
        <v>514</v>
      </c>
      <c r="E81" s="195">
        <v>40924</v>
      </c>
      <c r="F81" s="203" t="s">
        <v>571</v>
      </c>
      <c r="G81" s="833" t="s">
        <v>565</v>
      </c>
      <c r="H81" s="7" t="s">
        <v>487</v>
      </c>
      <c r="I81" s="277">
        <v>493</v>
      </c>
      <c r="J81" s="277">
        <v>31364</v>
      </c>
      <c r="K81" s="698">
        <v>15462452</v>
      </c>
      <c r="L81" s="699" t="s">
        <v>186</v>
      </c>
      <c r="M81" s="699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C81" s="226" t="str">
        <f>IF(ISNA(VLOOKUP(F81,NXT!$C$18:$C$347,1,0)),x,"")</f>
        <v/>
      </c>
    </row>
    <row r="82" spans="1:29" s="689" customFormat="1" ht="15.75" customHeight="1">
      <c r="A82" s="219" t="str">
        <f>IF(B82&lt;&gt;"",IF(AND(B82&gt;=_TM1,B82&lt;=_TM2,OR(TH!L82="1111",TH!M82="1111")),TH!D82,""),"")</f>
        <v/>
      </c>
      <c r="B82" s="36">
        <f t="shared" si="15"/>
        <v>1</v>
      </c>
      <c r="C82" s="195">
        <v>40924</v>
      </c>
      <c r="D82" s="195" t="s">
        <v>514</v>
      </c>
      <c r="E82" s="195">
        <v>40924</v>
      </c>
      <c r="F82" s="203" t="s">
        <v>572</v>
      </c>
      <c r="G82" s="833" t="s">
        <v>565</v>
      </c>
      <c r="H82" s="7" t="s">
        <v>487</v>
      </c>
      <c r="I82" s="277">
        <v>300</v>
      </c>
      <c r="J82" s="277">
        <v>20255</v>
      </c>
      <c r="K82" s="698">
        <v>6076500</v>
      </c>
      <c r="L82" s="699" t="s">
        <v>186</v>
      </c>
      <c r="M82" s="699" t="s">
        <v>8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C82" s="226" t="str">
        <f>IF(ISNA(VLOOKUP(F82,NXT!$C$18:$C$347,1,0)),x,"")</f>
        <v/>
      </c>
    </row>
    <row r="83" spans="1:29" s="689" customFormat="1" ht="15.75" customHeight="1">
      <c r="A83" s="219" t="str">
        <f>IF(B83&lt;&gt;"",IF(AND(B83&gt;=_TM1,B83&lt;=_TM2,OR(TH!L83="1111",TH!M83="1111")),TH!D83,""),"")</f>
        <v/>
      </c>
      <c r="B83" s="36">
        <f t="shared" si="15"/>
        <v>1</v>
      </c>
      <c r="C83" s="37">
        <v>40924</v>
      </c>
      <c r="D83" s="195" t="s">
        <v>514</v>
      </c>
      <c r="E83" s="195">
        <v>40924</v>
      </c>
      <c r="F83" s="40" t="s">
        <v>573</v>
      </c>
      <c r="G83" s="833" t="s">
        <v>565</v>
      </c>
      <c r="H83" s="7" t="s">
        <v>487</v>
      </c>
      <c r="I83" s="277"/>
      <c r="J83" s="277"/>
      <c r="K83" s="38">
        <v>4780983</v>
      </c>
      <c r="L83" s="39" t="s">
        <v>9</v>
      </c>
      <c r="M83" s="699" t="s">
        <v>8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</row>
    <row r="84" spans="1:29" s="689" customFormat="1" ht="15.75" customHeight="1">
      <c r="A84" s="219" t="str">
        <f>IF(B84&lt;&gt;"",IF(AND(B84&gt;=_TM1,B84&lt;=_TM2,OR(TH!L84="1111",TH!M84="1111")),TH!D84,""),"")</f>
        <v/>
      </c>
      <c r="B84" s="36">
        <f t="shared" si="15"/>
        <v>1</v>
      </c>
      <c r="C84" s="195">
        <v>40924</v>
      </c>
      <c r="D84" s="195" t="s">
        <v>515</v>
      </c>
      <c r="E84" s="195">
        <v>40924</v>
      </c>
      <c r="F84" s="203" t="s">
        <v>574</v>
      </c>
      <c r="G84" s="833" t="s">
        <v>575</v>
      </c>
      <c r="H84" s="7" t="s">
        <v>487</v>
      </c>
      <c r="I84" s="277">
        <v>395</v>
      </c>
      <c r="J84" s="277">
        <v>14984</v>
      </c>
      <c r="K84" s="698">
        <v>5918680</v>
      </c>
      <c r="L84" s="699" t="s">
        <v>186</v>
      </c>
      <c r="M84" s="699" t="s">
        <v>8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C84" s="226" t="str">
        <f>IF(ISNA(VLOOKUP(F84,NXT!$C$18:$C$347,1,0)),x,"")</f>
        <v/>
      </c>
    </row>
    <row r="85" spans="1:29" s="689" customFormat="1" ht="15.75" customHeight="1">
      <c r="A85" s="219" t="str">
        <f>IF(B85&lt;&gt;"",IF(AND(B85&gt;=_TM1,B85&lt;=_TM2,OR(TH!L85="1111",TH!M85="1111")),TH!D85,""),"")</f>
        <v/>
      </c>
      <c r="B85" s="36">
        <f t="shared" si="15"/>
        <v>1</v>
      </c>
      <c r="C85" s="195">
        <v>40924</v>
      </c>
      <c r="D85" s="195" t="s">
        <v>515</v>
      </c>
      <c r="E85" s="195">
        <v>40924</v>
      </c>
      <c r="F85" s="203" t="s">
        <v>576</v>
      </c>
      <c r="G85" s="833" t="s">
        <v>575</v>
      </c>
      <c r="H85" s="7" t="s">
        <v>487</v>
      </c>
      <c r="I85" s="277">
        <v>983</v>
      </c>
      <c r="J85" s="277">
        <v>20362</v>
      </c>
      <c r="K85" s="698">
        <v>20015846</v>
      </c>
      <c r="L85" s="699" t="s">
        <v>186</v>
      </c>
      <c r="M85" s="699" t="s">
        <v>8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C85" s="226" t="str">
        <f>IF(ISNA(VLOOKUP(F85,NXT!$C$18:$C$347,1,0)),x,"")</f>
        <v/>
      </c>
    </row>
    <row r="86" spans="1:29" s="689" customFormat="1" ht="15.75" customHeight="1">
      <c r="A86" s="219" t="str">
        <f>IF(B86&lt;&gt;"",IF(AND(B86&gt;=_TM1,B86&lt;=_TM2,OR(TH!L86="1111",TH!M86="1111")),TH!D86,""),"")</f>
        <v/>
      </c>
      <c r="B86" s="36">
        <f t="shared" si="15"/>
        <v>1</v>
      </c>
      <c r="C86" s="37">
        <v>40924</v>
      </c>
      <c r="D86" s="195" t="s">
        <v>515</v>
      </c>
      <c r="E86" s="195">
        <v>40924</v>
      </c>
      <c r="F86" s="40" t="s">
        <v>577</v>
      </c>
      <c r="G86" s="833" t="s">
        <v>575</v>
      </c>
      <c r="H86" s="7" t="s">
        <v>487</v>
      </c>
      <c r="I86" s="277">
        <v>116</v>
      </c>
      <c r="J86" s="277">
        <v>22348</v>
      </c>
      <c r="K86" s="38">
        <v>2592368</v>
      </c>
      <c r="L86" s="39" t="s">
        <v>186</v>
      </c>
      <c r="M86" s="699" t="s">
        <v>8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  <c r="AC86" s="226" t="str">
        <f>IF(ISNA(VLOOKUP(F86,NXT!$C$18:$C$347,1,0)),x,"")</f>
        <v/>
      </c>
    </row>
    <row r="87" spans="1:29" s="689" customFormat="1" ht="15.75" customHeight="1">
      <c r="A87" s="219" t="str">
        <f>IF(B87&lt;&gt;"",IF(AND(B87&gt;=_TM1,B87&lt;=_TM2,OR(TH!L87="1111",TH!M87="1111")),TH!D87,""),"")</f>
        <v/>
      </c>
      <c r="B87" s="36">
        <f t="shared" si="15"/>
        <v>1</v>
      </c>
      <c r="C87" s="195">
        <v>40924</v>
      </c>
      <c r="D87" s="195" t="s">
        <v>515</v>
      </c>
      <c r="E87" s="195">
        <v>40924</v>
      </c>
      <c r="F87" s="203" t="s">
        <v>578</v>
      </c>
      <c r="G87" s="833" t="s">
        <v>575</v>
      </c>
      <c r="H87" s="7" t="s">
        <v>487</v>
      </c>
      <c r="I87" s="277">
        <v>1140</v>
      </c>
      <c r="J87" s="277">
        <v>19567</v>
      </c>
      <c r="K87" s="698">
        <v>22306380</v>
      </c>
      <c r="L87" s="699" t="s">
        <v>186</v>
      </c>
      <c r="M87" s="699" t="s">
        <v>8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  <c r="AB87" s="226"/>
      <c r="AC87" s="226" t="str">
        <f>IF(ISNA(VLOOKUP(F87,NXT!$C$18:$C$347,1,0)),x,"")</f>
        <v/>
      </c>
    </row>
    <row r="88" spans="1:29" s="689" customFormat="1" ht="15.75" customHeight="1">
      <c r="A88" s="219" t="str">
        <f>IF(B88&lt;&gt;"",IF(AND(B88&gt;=_TM1,B88&lt;=_TM2,OR(TH!L88="1111",TH!M88="1111")),TH!D88,""),"")</f>
        <v/>
      </c>
      <c r="B88" s="36">
        <f t="shared" si="15"/>
        <v>1</v>
      </c>
      <c r="C88" s="195">
        <v>40924</v>
      </c>
      <c r="D88" s="195" t="s">
        <v>515</v>
      </c>
      <c r="E88" s="195">
        <v>40924</v>
      </c>
      <c r="F88" s="203" t="s">
        <v>579</v>
      </c>
      <c r="G88" s="833" t="s">
        <v>575</v>
      </c>
      <c r="H88" s="7" t="s">
        <v>487</v>
      </c>
      <c r="I88" s="277">
        <v>165</v>
      </c>
      <c r="J88" s="277">
        <v>23783</v>
      </c>
      <c r="K88" s="698">
        <v>3924195</v>
      </c>
      <c r="L88" s="699" t="s">
        <v>186</v>
      </c>
      <c r="M88" s="699" t="s">
        <v>8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  <c r="AB88" s="226"/>
      <c r="AC88" s="226" t="str">
        <f>IF(ISNA(VLOOKUP(F88,NXT!$C$18:$C$347,1,0)),x,"")</f>
        <v/>
      </c>
    </row>
    <row r="89" spans="1:29" s="689" customFormat="1" ht="15.75" customHeight="1">
      <c r="A89" s="219" t="str">
        <f>IF(B89&lt;&gt;"",IF(AND(B89&gt;=_TM1,B89&lt;=_TM2,OR(TH!L89="1111",TH!M89="1111")),TH!D89,""),"")</f>
        <v/>
      </c>
      <c r="B89" s="36">
        <f t="shared" si="15"/>
        <v>1</v>
      </c>
      <c r="C89" s="195">
        <v>40924</v>
      </c>
      <c r="D89" s="195" t="s">
        <v>515</v>
      </c>
      <c r="E89" s="195">
        <v>40924</v>
      </c>
      <c r="F89" s="203" t="s">
        <v>580</v>
      </c>
      <c r="G89" s="700" t="s">
        <v>575</v>
      </c>
      <c r="H89" s="7" t="s">
        <v>487</v>
      </c>
      <c r="I89" s="277">
        <v>100</v>
      </c>
      <c r="J89" s="277">
        <v>12022</v>
      </c>
      <c r="K89" s="698">
        <v>1202200</v>
      </c>
      <c r="L89" s="699" t="s">
        <v>186</v>
      </c>
      <c r="M89" s="699" t="s">
        <v>8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C89" s="226" t="str">
        <f>IF(ISNA(VLOOKUP(F89,NXT!$C$18:$C$347,1,0)),x,"")</f>
        <v/>
      </c>
    </row>
    <row r="90" spans="1:29" s="689" customFormat="1" ht="15.75" customHeight="1">
      <c r="A90" s="219" t="str">
        <f>IF(B90&lt;&gt;"",IF(AND(B90&gt;=_TM1,B90&lt;=_TM2,OR(TH!L90="1111",TH!M90="1111")),TH!D90,""),"")</f>
        <v/>
      </c>
      <c r="B90" s="36">
        <f t="shared" si="15"/>
        <v>1</v>
      </c>
      <c r="C90" s="195">
        <v>40924</v>
      </c>
      <c r="D90" s="195" t="s">
        <v>515</v>
      </c>
      <c r="E90" s="195">
        <v>40924</v>
      </c>
      <c r="F90" s="203" t="s">
        <v>484</v>
      </c>
      <c r="G90" s="833" t="s">
        <v>575</v>
      </c>
      <c r="H90" s="7" t="s">
        <v>487</v>
      </c>
      <c r="I90" s="277">
        <v>340</v>
      </c>
      <c r="J90" s="277">
        <v>30158</v>
      </c>
      <c r="K90" s="698">
        <v>10253720</v>
      </c>
      <c r="L90" s="699" t="s">
        <v>186</v>
      </c>
      <c r="M90" s="699" t="s">
        <v>8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  <c r="AC90" s="226" t="str">
        <f>IF(ISNA(VLOOKUP(F90,NXT!$C$18:$C$347,1,0)),x,"")</f>
        <v/>
      </c>
    </row>
    <row r="91" spans="1:29" s="689" customFormat="1" ht="15.75" customHeight="1">
      <c r="A91" s="219" t="str">
        <f>IF(B91&lt;&gt;"",IF(AND(B91&gt;=_TM1,B91&lt;=_TM2,OR(TH!L91="1111",TH!M91="1111")),TH!D91,""),"")</f>
        <v/>
      </c>
      <c r="B91" s="36">
        <f t="shared" si="15"/>
        <v>1</v>
      </c>
      <c r="C91" s="195">
        <v>40924</v>
      </c>
      <c r="D91" s="195" t="s">
        <v>515</v>
      </c>
      <c r="E91" s="195">
        <v>40924</v>
      </c>
      <c r="F91" s="203" t="s">
        <v>581</v>
      </c>
      <c r="G91" s="833" t="s">
        <v>575</v>
      </c>
      <c r="H91" s="7" t="s">
        <v>487</v>
      </c>
      <c r="I91" s="277">
        <v>100</v>
      </c>
      <c r="J91" s="277">
        <v>22897</v>
      </c>
      <c r="K91" s="698">
        <v>2289700</v>
      </c>
      <c r="L91" s="699" t="s">
        <v>186</v>
      </c>
      <c r="M91" s="699" t="s">
        <v>8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  <c r="AC91" s="226" t="str">
        <f>IF(ISNA(VLOOKUP(F91,NXT!$C$18:$C$347,1,0)),x,"")</f>
        <v/>
      </c>
    </row>
    <row r="92" spans="1:29" s="689" customFormat="1" ht="15.75" customHeight="1">
      <c r="A92" s="219" t="str">
        <f>IF(B92&lt;&gt;"",IF(AND(B92&gt;=_TM1,B92&lt;=_TM2,OR(TH!L92="1111",TH!M92="1111")),TH!D92,""),"")</f>
        <v/>
      </c>
      <c r="B92" s="36">
        <f t="shared" si="15"/>
        <v>1</v>
      </c>
      <c r="C92" s="195">
        <v>40924</v>
      </c>
      <c r="D92" s="195" t="s">
        <v>515</v>
      </c>
      <c r="E92" s="195">
        <v>40924</v>
      </c>
      <c r="F92" s="203" t="s">
        <v>573</v>
      </c>
      <c r="G92" s="833" t="s">
        <v>575</v>
      </c>
      <c r="H92" s="7" t="s">
        <v>487</v>
      </c>
      <c r="I92" s="277"/>
      <c r="J92" s="277"/>
      <c r="K92" s="698">
        <v>6850309</v>
      </c>
      <c r="L92" s="699" t="s">
        <v>9</v>
      </c>
      <c r="M92" s="699" t="s">
        <v>8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29" s="689" customFormat="1" ht="15.75" customHeight="1">
      <c r="A93" s="219" t="str">
        <f>IF(B93&lt;&gt;"",IF(AND(B93&gt;=_TM1,B93&lt;=_TM2,OR(TH!L93="1111",TH!M93="1111")),TH!D93,""),"")</f>
        <v/>
      </c>
      <c r="B93" s="36">
        <f t="shared" si="15"/>
        <v>1</v>
      </c>
      <c r="C93" s="195">
        <v>40924</v>
      </c>
      <c r="D93" s="195" t="s">
        <v>516</v>
      </c>
      <c r="E93" s="195">
        <v>40924</v>
      </c>
      <c r="F93" s="203" t="s">
        <v>582</v>
      </c>
      <c r="G93" s="833" t="s">
        <v>583</v>
      </c>
      <c r="H93" s="7" t="s">
        <v>487</v>
      </c>
      <c r="I93" s="277">
        <v>200</v>
      </c>
      <c r="J93" s="277">
        <v>25802</v>
      </c>
      <c r="K93" s="698">
        <v>5160400</v>
      </c>
      <c r="L93" s="699" t="s">
        <v>186</v>
      </c>
      <c r="M93" s="699" t="s">
        <v>8</v>
      </c>
      <c r="N93" s="55" t="str">
        <f>IF(AND('331-CT'!$E$7=TH!H93,OR(L93="331",M93="331")),"x","")</f>
        <v/>
      </c>
      <c r="O93" s="55" t="str">
        <f>IF(AND($B93&gt;='111'!$N$11,$B93&lt;='111'!$O$11,OR($L93=$O$7,$M93=$O$7)),"x","")</f>
        <v/>
      </c>
      <c r="P93" s="55" t="str">
        <f>IF(AND($L93=$O$7,$B93&lt;'111'!$N$11),"x","")</f>
        <v/>
      </c>
      <c r="Q93" s="55" t="str">
        <f>IF(AND($M93=$O$7,$B93&lt;'111'!$N$11),"x","")</f>
        <v/>
      </c>
      <c r="R93" s="55" t="str">
        <f>IF(ISERROR(FIND('112'!$M$9,G93,1)),"",IF((AND(FIND('112'!$M$9,G93,1)&gt;=1,$B93&gt;='112'!$N$8,$B93&lt;='112'!$O$8,OR($L93='112'!$I$6,$M93='112'!$I$6))),"x",""))</f>
        <v/>
      </c>
      <c r="S93" s="55" t="str">
        <f>IF(ISERROR(FIND('112'!$M$9,G93,1)),"",IF((AND(LEFT(G93,2)=LEFT('112'!$M$9,2),B93&lt;'112'!$N$8,$L93='112'!$I$6)),"x",""))</f>
        <v/>
      </c>
      <c r="T93" s="55" t="str">
        <f>IF(ISERROR(FIND('112'!$M$9,G93,1)),"",IF((AND(RIGHT(G93,2)=RIGHT('112'!$M$9,2),B93&lt;'112'!$N$8,$M93='112'!$I$6)),"x",""))</f>
        <v/>
      </c>
      <c r="U93" s="55" t="str">
        <f>IF(AND('3411-CT'!$F$9=H93,OR(LEFT(L93,3)=$U$7,LEFT(M93,3)=$U$7)),"x","")</f>
        <v/>
      </c>
      <c r="V93" s="55" t="str">
        <f>IF(OR(TH!L93=TH!$V$7,M93=TH!$V$7),"x","")</f>
        <v/>
      </c>
      <c r="W93" s="55" t="str">
        <f>IF(AND(OR(L93="131",M93="131"),H93='131-CT'!$E$7),"x","")</f>
        <v/>
      </c>
      <c r="X93" s="55" t="str">
        <f>IF(AND(B93&gt;='IN-NX'!$P$3,B93&lt;='IN-NX'!$Q$3,'IN-NX'!$D$7=D93,OR(LEFT(TH!L93,2)="15",LEFT(TH!M93,2)="15")),"x","")</f>
        <v/>
      </c>
      <c r="Y93" s="55" t="str">
        <f>IF(AND(OR(LEFT(TH!L93,2)="15",LEFT(TH!M93,2)="15"),'152-CT'!$J$8=TH!F93),"x","")</f>
        <v/>
      </c>
      <c r="Z93" s="55" t="str">
        <f>IF(AND(OR(LEFT(TH!L93,2)="15",LEFT(TH!M93,2)="15"),TK!$E$7=TH!F93),"x","")</f>
        <v/>
      </c>
      <c r="AA93" s="55" t="str">
        <f>IF(AND(B93&lt;=NKC!$N$8,B93&gt;=NKC!$M$8),"x","")</f>
        <v/>
      </c>
      <c r="AC93" s="226" t="str">
        <f>IF(ISNA(VLOOKUP(F93,NXT!$C$18:$C$347,1,0)),x,"")</f>
        <v/>
      </c>
    </row>
    <row r="94" spans="1:29" s="689" customFormat="1" ht="15.75" customHeight="1">
      <c r="A94" s="219" t="str">
        <f>IF(B94&lt;&gt;"",IF(AND(B94&gt;=_TM1,B94&lt;=_TM2,OR(TH!L94="1111",TH!M94="1111")),TH!D94,""),"")</f>
        <v/>
      </c>
      <c r="B94" s="36">
        <f t="shared" si="15"/>
        <v>1</v>
      </c>
      <c r="C94" s="195">
        <v>40924</v>
      </c>
      <c r="D94" s="195" t="s">
        <v>516</v>
      </c>
      <c r="E94" s="195">
        <v>40924</v>
      </c>
      <c r="F94" s="203" t="s">
        <v>584</v>
      </c>
      <c r="G94" s="833" t="s">
        <v>583</v>
      </c>
      <c r="H94" s="7" t="s">
        <v>487</v>
      </c>
      <c r="I94" s="277">
        <v>110</v>
      </c>
      <c r="J94" s="277">
        <v>24566</v>
      </c>
      <c r="K94" s="698">
        <v>2702260</v>
      </c>
      <c r="L94" s="699" t="s">
        <v>186</v>
      </c>
      <c r="M94" s="699" t="s">
        <v>8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  <c r="AC94" s="226" t="str">
        <f>IF(ISNA(VLOOKUP(F94,NXT!$C$18:$C$347,1,0)),x,"")</f>
        <v/>
      </c>
    </row>
    <row r="95" spans="1:29" s="689" customFormat="1" ht="15.75" customHeight="1">
      <c r="A95" s="219" t="str">
        <f>IF(B95&lt;&gt;"",IF(AND(B95&gt;=_TM1,B95&lt;=_TM2,OR(TH!L95="1111",TH!M95="1111")),TH!D95,""),"")</f>
        <v/>
      </c>
      <c r="B95" s="36">
        <f t="shared" si="15"/>
        <v>1</v>
      </c>
      <c r="C95" s="195">
        <v>40924</v>
      </c>
      <c r="D95" s="195" t="s">
        <v>516</v>
      </c>
      <c r="E95" s="195">
        <v>40924</v>
      </c>
      <c r="F95" s="203" t="s">
        <v>585</v>
      </c>
      <c r="G95" s="833" t="s">
        <v>583</v>
      </c>
      <c r="H95" s="7" t="s">
        <v>487</v>
      </c>
      <c r="I95" s="277">
        <v>10</v>
      </c>
      <c r="J95" s="277">
        <v>19004</v>
      </c>
      <c r="K95" s="698">
        <v>190040</v>
      </c>
      <c r="L95" s="699" t="s">
        <v>186</v>
      </c>
      <c r="M95" s="699" t="s">
        <v>8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  <c r="AC95" s="226" t="str">
        <f>IF(ISNA(VLOOKUP(F95,NXT!$C$18:$C$347,1,0)),x,"")</f>
        <v/>
      </c>
    </row>
    <row r="96" spans="1:29" s="689" customFormat="1" ht="15.75" customHeight="1">
      <c r="A96" s="219" t="str">
        <f>IF(B96&lt;&gt;"",IF(AND(B96&gt;=_TM1,B96&lt;=_TM2,OR(TH!L96="1111",TH!M96="1111")),TH!D96,""),"")</f>
        <v/>
      </c>
      <c r="B96" s="36">
        <f t="shared" si="15"/>
        <v>1</v>
      </c>
      <c r="C96" s="195">
        <v>40924</v>
      </c>
      <c r="D96" s="195" t="s">
        <v>516</v>
      </c>
      <c r="E96" s="195">
        <v>40924</v>
      </c>
      <c r="F96" s="203" t="s">
        <v>573</v>
      </c>
      <c r="G96" s="833" t="s">
        <v>583</v>
      </c>
      <c r="H96" s="7" t="s">
        <v>487</v>
      </c>
      <c r="I96" s="277"/>
      <c r="J96" s="277"/>
      <c r="K96" s="698">
        <v>805270</v>
      </c>
      <c r="L96" s="699" t="s">
        <v>9</v>
      </c>
      <c r="M96" s="699" t="s">
        <v>8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</row>
    <row r="97" spans="1:30" s="689" customFormat="1" ht="15.75" customHeight="1">
      <c r="A97" s="219" t="str">
        <f>IF(B97&lt;&gt;"",IF(AND(B97&gt;=_TM1,B97&lt;=_TM2,OR(TH!L97="1111",TH!M97="1111")),TH!D97,""),"")</f>
        <v/>
      </c>
      <c r="B97" s="36">
        <f t="shared" si="15"/>
        <v>1</v>
      </c>
      <c r="C97" s="195">
        <v>40925</v>
      </c>
      <c r="D97" s="195" t="s">
        <v>466</v>
      </c>
      <c r="E97" s="195">
        <v>40925</v>
      </c>
      <c r="F97" s="203" t="s">
        <v>476</v>
      </c>
      <c r="G97" s="833" t="s">
        <v>586</v>
      </c>
      <c r="H97" s="7" t="s">
        <v>587</v>
      </c>
      <c r="I97" s="277"/>
      <c r="J97" s="277"/>
      <c r="K97" s="698">
        <v>522643</v>
      </c>
      <c r="L97" s="699" t="s">
        <v>194</v>
      </c>
      <c r="M97" s="699" t="s">
        <v>49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>x</v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</row>
    <row r="98" spans="1:30" s="689" customFormat="1" ht="15.75" customHeight="1">
      <c r="A98" s="219" t="str">
        <f>IF(B98&lt;&gt;"",IF(AND(B98&gt;=_TM1,B98&lt;=_TM2,OR(TH!L98="1111",TH!M98="1111")),TH!D98,""),"")</f>
        <v/>
      </c>
      <c r="B98" s="36">
        <f t="shared" si="15"/>
        <v>1</v>
      </c>
      <c r="C98" s="195">
        <v>40925</v>
      </c>
      <c r="D98" s="195" t="s">
        <v>466</v>
      </c>
      <c r="E98" s="195">
        <v>40925</v>
      </c>
      <c r="F98" s="203" t="s">
        <v>477</v>
      </c>
      <c r="G98" s="833" t="s">
        <v>586</v>
      </c>
      <c r="H98" s="7" t="s">
        <v>587</v>
      </c>
      <c r="I98" s="277"/>
      <c r="J98" s="277"/>
      <c r="K98" s="698">
        <v>52264</v>
      </c>
      <c r="L98" s="699" t="s">
        <v>9</v>
      </c>
      <c r="M98" s="699" t="s">
        <v>49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>x</v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</row>
    <row r="99" spans="1:30" s="689" customFormat="1" ht="15.75" customHeight="1">
      <c r="A99" s="219" t="str">
        <f>IF(B99&lt;&gt;"",IF(AND(B99&gt;=_TM1,B99&lt;=_TM2,OR(TH!L99="1111",TH!M99="1111")),TH!D99,""),"")</f>
        <v/>
      </c>
      <c r="B99" s="36">
        <f t="shared" si="15"/>
        <v>1</v>
      </c>
      <c r="C99" s="195">
        <v>40926</v>
      </c>
      <c r="D99" s="195" t="s">
        <v>467</v>
      </c>
      <c r="E99" s="195">
        <v>40926</v>
      </c>
      <c r="F99" s="203" t="s">
        <v>588</v>
      </c>
      <c r="G99" s="833" t="s">
        <v>589</v>
      </c>
      <c r="H99" s="7" t="s">
        <v>590</v>
      </c>
      <c r="I99" s="277"/>
      <c r="J99" s="277"/>
      <c r="K99" s="698">
        <v>728658</v>
      </c>
      <c r="L99" s="699" t="s">
        <v>87</v>
      </c>
      <c r="M99" s="699" t="s">
        <v>49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>x</v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</row>
    <row r="100" spans="1:30" s="689" customFormat="1" ht="15.75" customHeight="1">
      <c r="A100" s="219" t="str">
        <f>IF(B100&lt;&gt;"",IF(AND(B100&gt;=_TM1,B100&lt;=_TM2,OR(TH!L100="1111",TH!M100="1111")),TH!D100,""),"")</f>
        <v/>
      </c>
      <c r="B100" s="36">
        <f t="shared" si="15"/>
        <v>1</v>
      </c>
      <c r="C100" s="37">
        <v>40926</v>
      </c>
      <c r="D100" s="195" t="s">
        <v>467</v>
      </c>
      <c r="E100" s="37">
        <v>40926</v>
      </c>
      <c r="F100" s="40" t="s">
        <v>591</v>
      </c>
      <c r="G100" s="577" t="s">
        <v>592</v>
      </c>
      <c r="H100" s="47" t="s">
        <v>590</v>
      </c>
      <c r="I100" s="277"/>
      <c r="J100" s="277"/>
      <c r="K100" s="38">
        <v>45277</v>
      </c>
      <c r="L100" s="39" t="s">
        <v>9</v>
      </c>
      <c r="M100" s="699" t="s">
        <v>49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>x</v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689" customFormat="1" ht="15.75" customHeight="1">
      <c r="A101" s="219" t="str">
        <f>IF(B101&lt;&gt;"",IF(AND(B101&gt;=_TM1,B101&lt;=_TM2,OR(TH!L101="1111",TH!M101="1111")),TH!D101,""),"")</f>
        <v/>
      </c>
      <c r="B101" s="36">
        <f t="shared" si="15"/>
        <v>1</v>
      </c>
      <c r="C101" s="37">
        <v>40927</v>
      </c>
      <c r="D101" s="195" t="s">
        <v>492</v>
      </c>
      <c r="E101" s="37">
        <v>40927</v>
      </c>
      <c r="F101" s="40" t="s">
        <v>550</v>
      </c>
      <c r="G101" s="577" t="s">
        <v>401</v>
      </c>
      <c r="H101" s="47" t="s">
        <v>452</v>
      </c>
      <c r="I101" s="277"/>
      <c r="J101" s="277"/>
      <c r="K101" s="38">
        <v>22870000</v>
      </c>
      <c r="L101" s="39" t="s">
        <v>49</v>
      </c>
      <c r="M101" s="699" t="s">
        <v>24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>x</v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>x</v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888" customFormat="1" ht="15.75" customHeight="1">
      <c r="A102" s="219" t="str">
        <f>IF(B102&lt;&gt;"",IF(AND(B102&gt;=_TM1,B102&lt;=_TM2,OR(TH!L102="1111",TH!M102="1111")),TH!D102,""),"")</f>
        <v/>
      </c>
      <c r="B102" s="882">
        <f t="shared" si="15"/>
        <v>1</v>
      </c>
      <c r="C102" s="883">
        <v>40928</v>
      </c>
      <c r="D102" s="883" t="s">
        <v>404</v>
      </c>
      <c r="E102" s="883">
        <v>40928</v>
      </c>
      <c r="F102" s="884" t="s">
        <v>453</v>
      </c>
      <c r="G102" s="885" t="s">
        <v>401</v>
      </c>
      <c r="H102" s="53"/>
      <c r="I102" s="275"/>
      <c r="J102" s="275"/>
      <c r="K102" s="886">
        <v>77446</v>
      </c>
      <c r="L102" s="887" t="s">
        <v>24</v>
      </c>
      <c r="M102" s="887" t="s">
        <v>41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>x</v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689" customFormat="1" ht="15.75" customHeight="1">
      <c r="A103" s="219" t="str">
        <f>IF(B103&lt;&gt;"",IF(AND(B103&gt;=_TM1,B103&lt;=_TM2,OR(TH!L103="1111",TH!M103="1111")),TH!D103,""),"")</f>
        <v/>
      </c>
      <c r="B103" s="36">
        <f t="shared" si="15"/>
        <v>1</v>
      </c>
      <c r="C103" s="195">
        <v>40938</v>
      </c>
      <c r="D103" s="195" t="s">
        <v>468</v>
      </c>
      <c r="E103" s="195">
        <v>40938</v>
      </c>
      <c r="F103" s="203" t="s">
        <v>593</v>
      </c>
      <c r="G103" s="833" t="s">
        <v>594</v>
      </c>
      <c r="H103" s="7" t="s">
        <v>553</v>
      </c>
      <c r="I103" s="277"/>
      <c r="J103" s="277"/>
      <c r="K103" s="698">
        <v>700000</v>
      </c>
      <c r="L103" s="699" t="s">
        <v>194</v>
      </c>
      <c r="M103" s="699" t="s">
        <v>49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>x</v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689" customFormat="1" ht="15.75" customHeight="1">
      <c r="A104" s="219" t="str">
        <f>IF(B104&lt;&gt;"",IF(AND(B104&gt;=_TM1,B104&lt;=_TM2,OR(TH!L104="1111",TH!M104="1111")),TH!D104,""),"")</f>
        <v/>
      </c>
      <c r="B104" s="36">
        <f t="shared" si="15"/>
        <v>1</v>
      </c>
      <c r="C104" s="195">
        <v>40938</v>
      </c>
      <c r="D104" s="195" t="s">
        <v>468</v>
      </c>
      <c r="E104" s="195">
        <v>40938</v>
      </c>
      <c r="F104" s="203" t="s">
        <v>413</v>
      </c>
      <c r="G104" s="833" t="s">
        <v>594</v>
      </c>
      <c r="H104" s="7" t="s">
        <v>553</v>
      </c>
      <c r="I104" s="277"/>
      <c r="J104" s="277"/>
      <c r="K104" s="698">
        <v>70000</v>
      </c>
      <c r="L104" s="699" t="s">
        <v>9</v>
      </c>
      <c r="M104" s="699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689" customFormat="1" ht="15.75" customHeight="1">
      <c r="A105" s="219" t="str">
        <f>IF(B105&lt;&gt;"",IF(AND(B105&gt;=_TM1,B105&lt;=_TM2,OR(TH!L105="1111",TH!M105="1111")),TH!D105,""),"")</f>
        <v/>
      </c>
      <c r="B105" s="36">
        <f t="shared" si="15"/>
        <v>2</v>
      </c>
      <c r="C105" s="195">
        <v>40940</v>
      </c>
      <c r="D105" s="195" t="s">
        <v>469</v>
      </c>
      <c r="E105" s="195">
        <v>40940</v>
      </c>
      <c r="F105" s="203" t="s">
        <v>595</v>
      </c>
      <c r="G105" s="700" t="s">
        <v>462</v>
      </c>
      <c r="H105" s="45" t="s">
        <v>596</v>
      </c>
      <c r="I105" s="277"/>
      <c r="J105" s="277"/>
      <c r="K105" s="698">
        <v>4700000</v>
      </c>
      <c r="L105" s="699" t="s">
        <v>194</v>
      </c>
      <c r="M105" s="699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</row>
    <row r="106" spans="1:30" s="689" customFormat="1" ht="15.75" customHeight="1">
      <c r="A106" s="219" t="str">
        <f>IF(B106&lt;&gt;"",IF(AND(B106&gt;=_TM1,B106&lt;=_TM2,OR(TH!L106="1111",TH!M106="1111")),TH!D106,""),"")</f>
        <v/>
      </c>
      <c r="B106" s="36">
        <f t="shared" si="15"/>
        <v>2</v>
      </c>
      <c r="C106" s="37">
        <v>40940</v>
      </c>
      <c r="D106" s="195" t="s">
        <v>469</v>
      </c>
      <c r="E106" s="37">
        <v>40940</v>
      </c>
      <c r="F106" s="203" t="s">
        <v>597</v>
      </c>
      <c r="G106" s="577" t="s">
        <v>462</v>
      </c>
      <c r="H106" s="7" t="s">
        <v>596</v>
      </c>
      <c r="I106" s="279"/>
      <c r="J106" s="277"/>
      <c r="K106" s="698">
        <v>470000</v>
      </c>
      <c r="L106" s="39" t="s">
        <v>9</v>
      </c>
      <c r="M106" s="699" t="s">
        <v>49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>x</v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689" customFormat="1" ht="15.75" customHeight="1">
      <c r="A107" s="219" t="str">
        <f>IF(B107&lt;&gt;"",IF(AND(B107&gt;=_TM1,B107&lt;=_TM2,OR(TH!L107="1111",TH!M107="1111")),TH!D107,""),"")</f>
        <v/>
      </c>
      <c r="B107" s="36">
        <f t="shared" si="15"/>
        <v>2</v>
      </c>
      <c r="C107" s="37">
        <v>40940</v>
      </c>
      <c r="D107" s="195" t="s">
        <v>470</v>
      </c>
      <c r="E107" s="37">
        <v>40877</v>
      </c>
      <c r="F107" s="203" t="s">
        <v>598</v>
      </c>
      <c r="G107" s="577" t="s">
        <v>599</v>
      </c>
      <c r="H107" s="7" t="s">
        <v>456</v>
      </c>
      <c r="I107" s="277"/>
      <c r="J107" s="279"/>
      <c r="K107" s="698">
        <v>1600000</v>
      </c>
      <c r="L107" s="39" t="s">
        <v>194</v>
      </c>
      <c r="M107" s="699" t="s">
        <v>49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>x</v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689" customFormat="1" ht="15.75" customHeight="1">
      <c r="A108" s="219" t="str">
        <f>IF(B108&lt;&gt;"",IF(AND(B108&gt;=_TM1,B108&lt;=_TM2,OR(TH!L108="1111",TH!M108="1111")),TH!D108,""),"")</f>
        <v/>
      </c>
      <c r="B108" s="36">
        <f t="shared" si="15"/>
        <v>2</v>
      </c>
      <c r="C108" s="37">
        <v>40940</v>
      </c>
      <c r="D108" s="195" t="s">
        <v>470</v>
      </c>
      <c r="E108" s="37">
        <v>40877</v>
      </c>
      <c r="F108" s="203" t="s">
        <v>413</v>
      </c>
      <c r="G108" s="577" t="s">
        <v>599</v>
      </c>
      <c r="H108" s="7" t="s">
        <v>456</v>
      </c>
      <c r="I108" s="277"/>
      <c r="J108" s="279"/>
      <c r="K108" s="698">
        <v>160000</v>
      </c>
      <c r="L108" s="39" t="s">
        <v>9</v>
      </c>
      <c r="M108" s="699" t="s">
        <v>49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>x</v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226" customFormat="1" ht="15.75" customHeight="1">
      <c r="A109" s="219" t="str">
        <f>IF(B109&lt;&gt;"",IF(AND(B109&gt;=_TM1,B109&lt;=_TM2,OR(TH!L109="1111",TH!M109="1111")),TH!D109,""),"")</f>
        <v/>
      </c>
      <c r="B109" s="36">
        <f t="shared" si="15"/>
        <v>2</v>
      </c>
      <c r="C109" s="37">
        <v>40940</v>
      </c>
      <c r="D109" s="195" t="s">
        <v>471</v>
      </c>
      <c r="E109" s="37">
        <v>40890</v>
      </c>
      <c r="F109" s="203" t="s">
        <v>600</v>
      </c>
      <c r="G109" s="577" t="s">
        <v>601</v>
      </c>
      <c r="H109" s="7" t="s">
        <v>456</v>
      </c>
      <c r="I109" s="277"/>
      <c r="J109" s="279"/>
      <c r="K109" s="698">
        <v>2740000</v>
      </c>
      <c r="L109" s="39" t="s">
        <v>194</v>
      </c>
      <c r="M109" s="699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</row>
    <row r="110" spans="1:30" s="226" customFormat="1" ht="15.75" customHeight="1">
      <c r="A110" s="219" t="str">
        <f>IF(B110&lt;&gt;"",IF(AND(B110&gt;=_TM1,B110&lt;=_TM2,OR(TH!L110="1111",TH!M110="1111")),TH!D110,""),"")</f>
        <v/>
      </c>
      <c r="B110" s="36">
        <f t="shared" si="15"/>
        <v>2</v>
      </c>
      <c r="C110" s="37">
        <v>40940</v>
      </c>
      <c r="D110" s="195" t="s">
        <v>471</v>
      </c>
      <c r="E110" s="37">
        <v>40890</v>
      </c>
      <c r="F110" s="203" t="s">
        <v>413</v>
      </c>
      <c r="G110" s="577" t="s">
        <v>601</v>
      </c>
      <c r="H110" s="7" t="s">
        <v>456</v>
      </c>
      <c r="I110" s="277"/>
      <c r="J110" s="279"/>
      <c r="K110" s="698">
        <v>274000</v>
      </c>
      <c r="L110" s="39" t="s">
        <v>9</v>
      </c>
      <c r="M110" s="699" t="s">
        <v>49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>x</v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</row>
    <row r="111" spans="1:30" s="689" customFormat="1" ht="15.75" customHeight="1">
      <c r="A111" s="219" t="str">
        <f>IF(B111&lt;&gt;"",IF(AND(B111&gt;=_TM1,B111&lt;=_TM2,OR(TH!L111="1111",TH!M111="1111")),TH!D111,""),"")</f>
        <v/>
      </c>
      <c r="B111" s="36">
        <f t="shared" si="15"/>
        <v>2</v>
      </c>
      <c r="C111" s="37">
        <v>40941</v>
      </c>
      <c r="D111" s="195" t="s">
        <v>404</v>
      </c>
      <c r="E111" s="37">
        <v>40941</v>
      </c>
      <c r="F111" s="203" t="s">
        <v>406</v>
      </c>
      <c r="G111" s="577" t="s">
        <v>401</v>
      </c>
      <c r="H111" s="7" t="s">
        <v>1132</v>
      </c>
      <c r="I111" s="277"/>
      <c r="J111" s="279"/>
      <c r="K111" s="698">
        <v>18632856</v>
      </c>
      <c r="L111" s="39" t="s">
        <v>24</v>
      </c>
      <c r="M111" s="699" t="s">
        <v>311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>x</v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/>
    </row>
    <row r="112" spans="1:30" s="689" customFormat="1" ht="15.75" customHeight="1">
      <c r="A112" s="219" t="str">
        <f>IF(B112&lt;&gt;"",IF(AND(B112&gt;=_TM1,B112&lt;=_TM2,OR(TH!L112="1111",TH!M112="1111")),TH!D112,""),"")</f>
        <v/>
      </c>
      <c r="B112" s="36">
        <f t="shared" si="15"/>
        <v>2</v>
      </c>
      <c r="C112" s="37">
        <v>40941</v>
      </c>
      <c r="D112" s="195" t="s">
        <v>510</v>
      </c>
      <c r="E112" s="37">
        <v>40941</v>
      </c>
      <c r="F112" s="203" t="s">
        <v>411</v>
      </c>
      <c r="G112" s="577" t="s">
        <v>602</v>
      </c>
      <c r="H112" s="7" t="s">
        <v>461</v>
      </c>
      <c r="I112" s="277">
        <v>48</v>
      </c>
      <c r="J112" s="279">
        <v>42000</v>
      </c>
      <c r="K112" s="38">
        <v>2016000</v>
      </c>
      <c r="L112" s="39" t="s">
        <v>188</v>
      </c>
      <c r="M112" s="699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/>
      <c r="AD112" s="226"/>
    </row>
    <row r="113" spans="1:30" s="689" customFormat="1" ht="15.75" customHeight="1">
      <c r="A113" s="219" t="str">
        <f>IF(B113&lt;&gt;"",IF(AND(B113&gt;=_TM1,B113&lt;=_TM2,OR(TH!L113="1111",TH!M113="1111")),TH!D113,""),"")</f>
        <v/>
      </c>
      <c r="B113" s="36">
        <f t="shared" si="15"/>
        <v>2</v>
      </c>
      <c r="C113" s="37">
        <v>40941</v>
      </c>
      <c r="D113" s="195" t="s">
        <v>510</v>
      </c>
      <c r="E113" s="37">
        <v>40941</v>
      </c>
      <c r="F113" s="203" t="s">
        <v>412</v>
      </c>
      <c r="G113" s="577" t="s">
        <v>602</v>
      </c>
      <c r="H113" s="7" t="s">
        <v>461</v>
      </c>
      <c r="I113" s="277"/>
      <c r="J113" s="279"/>
      <c r="K113" s="698">
        <v>201600</v>
      </c>
      <c r="L113" s="39" t="s">
        <v>9</v>
      </c>
      <c r="M113" s="699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B113" s="226"/>
      <c r="AC113" s="226"/>
      <c r="AD113" s="226"/>
    </row>
    <row r="114" spans="1:30" s="689" customFormat="1" ht="15.75" customHeight="1">
      <c r="A114" s="219" t="str">
        <f>IF(B114&lt;&gt;"",IF(AND(B114&gt;=_TM1,B114&lt;=_TM2,OR(TH!L114="1111",TH!M114="1111")),TH!D114,""),"")</f>
        <v/>
      </c>
      <c r="B114" s="36">
        <f t="shared" si="15"/>
        <v>2</v>
      </c>
      <c r="C114" s="37">
        <v>40941</v>
      </c>
      <c r="D114" s="195" t="s">
        <v>472</v>
      </c>
      <c r="E114" s="37">
        <v>40941</v>
      </c>
      <c r="F114" s="203" t="s">
        <v>455</v>
      </c>
      <c r="G114" s="577" t="s">
        <v>602</v>
      </c>
      <c r="H114" s="7" t="s">
        <v>461</v>
      </c>
      <c r="I114" s="277"/>
      <c r="J114" s="279"/>
      <c r="K114" s="698">
        <v>2217600</v>
      </c>
      <c r="L114" s="39" t="s">
        <v>8</v>
      </c>
      <c r="M114" s="699" t="s">
        <v>49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>x</v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B114" s="226"/>
      <c r="AC114" s="226"/>
      <c r="AD114" s="226"/>
    </row>
    <row r="115" spans="1:30" s="689" customFormat="1" ht="15.75" customHeight="1">
      <c r="A115" s="219" t="str">
        <f>IF(B115&lt;&gt;"",IF(AND(B115&gt;=_TM1,B115&lt;=_TM2,OR(TH!L115="1111",TH!M115="1111")),TH!D115,""),"")</f>
        <v/>
      </c>
      <c r="B115" s="36">
        <f t="shared" si="15"/>
        <v>2</v>
      </c>
      <c r="C115" s="37">
        <v>40942</v>
      </c>
      <c r="D115" s="195" t="s">
        <v>405</v>
      </c>
      <c r="E115" s="37">
        <v>40942</v>
      </c>
      <c r="F115" s="203" t="s">
        <v>455</v>
      </c>
      <c r="G115" s="577" t="s">
        <v>401</v>
      </c>
      <c r="H115" s="7"/>
      <c r="I115" s="277"/>
      <c r="J115" s="279"/>
      <c r="K115" s="38">
        <v>18600000</v>
      </c>
      <c r="L115" s="39" t="s">
        <v>8</v>
      </c>
      <c r="M115" s="699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/>
      <c r="AD115" s="226"/>
    </row>
    <row r="116" spans="1:30" s="689" customFormat="1" ht="15.75" customHeight="1">
      <c r="A116" s="219" t="str">
        <f>IF(B116&lt;&gt;"",IF(AND(B116&gt;=_TM1,B116&lt;=_TM2,OR(TH!L116="1111",TH!M116="1111")),TH!D116,""),"")</f>
        <v/>
      </c>
      <c r="B116" s="36">
        <f t="shared" si="15"/>
        <v>2</v>
      </c>
      <c r="C116" s="37">
        <v>40945</v>
      </c>
      <c r="D116" s="195" t="s">
        <v>473</v>
      </c>
      <c r="E116" s="37">
        <v>40945</v>
      </c>
      <c r="F116" s="203" t="s">
        <v>603</v>
      </c>
      <c r="G116" s="577" t="s">
        <v>604</v>
      </c>
      <c r="H116" s="7" t="s">
        <v>553</v>
      </c>
      <c r="I116" s="277"/>
      <c r="J116" s="279"/>
      <c r="K116" s="698">
        <v>960000</v>
      </c>
      <c r="L116" s="39" t="s">
        <v>194</v>
      </c>
      <c r="M116" s="699" t="s">
        <v>49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>x</v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/>
      <c r="AD116" s="226"/>
    </row>
    <row r="117" spans="1:30" s="689" customFormat="1" ht="15.75" customHeight="1">
      <c r="A117" s="219" t="str">
        <f>IF(B117&lt;&gt;"",IF(AND(B117&gt;=_TM1,B117&lt;=_TM2,OR(TH!L117="1111",TH!M117="1111")),TH!D117,""),"")</f>
        <v/>
      </c>
      <c r="B117" s="36">
        <f t="shared" si="15"/>
        <v>2</v>
      </c>
      <c r="C117" s="37">
        <v>40945</v>
      </c>
      <c r="D117" s="195" t="s">
        <v>473</v>
      </c>
      <c r="E117" s="37">
        <v>40945</v>
      </c>
      <c r="F117" s="203" t="s">
        <v>413</v>
      </c>
      <c r="G117" s="577" t="s">
        <v>604</v>
      </c>
      <c r="H117" s="7" t="s">
        <v>553</v>
      </c>
      <c r="I117" s="277"/>
      <c r="J117" s="279"/>
      <c r="K117" s="698">
        <v>96000</v>
      </c>
      <c r="L117" s="39" t="s">
        <v>9</v>
      </c>
      <c r="M117" s="699" t="s">
        <v>49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>x</v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/>
      <c r="AD117" s="226"/>
    </row>
    <row r="118" spans="1:30" s="689" customFormat="1" ht="15.75" customHeight="1">
      <c r="A118" s="219" t="str">
        <f>IF(B118&lt;&gt;"",IF(AND(B118&gt;=_TM1,B118&lt;=_TM2,OR(TH!L118="1111",TH!M118="1111")),TH!D118,""),"")</f>
        <v/>
      </c>
      <c r="B118" s="36">
        <f t="shared" si="15"/>
        <v>2</v>
      </c>
      <c r="C118" s="37">
        <v>40949</v>
      </c>
      <c r="D118" s="195" t="s">
        <v>489</v>
      </c>
      <c r="E118" s="37">
        <v>40949</v>
      </c>
      <c r="F118" s="203" t="s">
        <v>476</v>
      </c>
      <c r="G118" s="577" t="s">
        <v>605</v>
      </c>
      <c r="H118" s="7" t="s">
        <v>587</v>
      </c>
      <c r="I118" s="278"/>
      <c r="J118" s="279"/>
      <c r="K118" s="698">
        <v>243200</v>
      </c>
      <c r="L118" s="39" t="s">
        <v>194</v>
      </c>
      <c r="M118" s="699" t="s">
        <v>49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>x</v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</row>
    <row r="119" spans="1:30" s="689" customFormat="1" ht="15.75" customHeight="1">
      <c r="A119" s="219" t="str">
        <f>IF(B119&lt;&gt;"",IF(AND(B119&gt;=_TM1,B119&lt;=_TM2,OR(TH!L119="1111",TH!M119="1111")),TH!D119,""),"")</f>
        <v/>
      </c>
      <c r="B119" s="36">
        <f t="shared" si="15"/>
        <v>2</v>
      </c>
      <c r="C119" s="37">
        <v>40949</v>
      </c>
      <c r="D119" s="195" t="s">
        <v>489</v>
      </c>
      <c r="E119" s="37">
        <v>40949</v>
      </c>
      <c r="F119" s="203" t="s">
        <v>477</v>
      </c>
      <c r="G119" s="577" t="s">
        <v>605</v>
      </c>
      <c r="H119" s="7" t="s">
        <v>587</v>
      </c>
      <c r="I119" s="278"/>
      <c r="J119" s="279"/>
      <c r="K119" s="698">
        <v>24320</v>
      </c>
      <c r="L119" s="39" t="s">
        <v>9</v>
      </c>
      <c r="M119" s="699" t="s">
        <v>49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>x</v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</row>
    <row r="120" spans="1:30" s="689" customFormat="1" ht="15.75" customHeight="1">
      <c r="A120" s="219" t="str">
        <f>IF(B120&lt;&gt;"",IF(AND(B120&gt;=_TM1,B120&lt;=_TM2,OR(TH!L120="1111",TH!M120="1111")),TH!D120,""),"")</f>
        <v/>
      </c>
      <c r="B120" s="36">
        <f t="shared" ref="B120:B183" si="16">IF(C120&lt;&gt;"",MONTH(C120),"")</f>
        <v>2</v>
      </c>
      <c r="C120" s="37">
        <v>40952</v>
      </c>
      <c r="D120" s="195" t="s">
        <v>490</v>
      </c>
      <c r="E120" s="37">
        <v>40952</v>
      </c>
      <c r="F120" s="203" t="s">
        <v>606</v>
      </c>
      <c r="G120" s="577" t="s">
        <v>607</v>
      </c>
      <c r="H120" s="7" t="s">
        <v>608</v>
      </c>
      <c r="I120" s="277"/>
      <c r="J120" s="279"/>
      <c r="K120" s="698">
        <v>332504</v>
      </c>
      <c r="L120" s="39" t="s">
        <v>87</v>
      </c>
      <c r="M120" s="699" t="s">
        <v>49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>x</v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</row>
    <row r="121" spans="1:30" s="689" customFormat="1" ht="15.75" customHeight="1">
      <c r="A121" s="219" t="str">
        <f>IF(B121&lt;&gt;"",IF(AND(B121&gt;=_TM1,B121&lt;=_TM2,OR(TH!L121="1111",TH!M121="1111")),TH!D121,""),"")</f>
        <v/>
      </c>
      <c r="B121" s="36">
        <f t="shared" si="16"/>
        <v>2</v>
      </c>
      <c r="C121" s="37">
        <v>40952</v>
      </c>
      <c r="D121" s="195" t="s">
        <v>490</v>
      </c>
      <c r="E121" s="37">
        <v>40952</v>
      </c>
      <c r="F121" s="203" t="s">
        <v>609</v>
      </c>
      <c r="G121" s="577" t="s">
        <v>607</v>
      </c>
      <c r="H121" s="7" t="s">
        <v>608</v>
      </c>
      <c r="I121" s="279"/>
      <c r="J121" s="279"/>
      <c r="K121" s="38">
        <v>33249</v>
      </c>
      <c r="L121" s="39" t="s">
        <v>9</v>
      </c>
      <c r="M121" s="699" t="s">
        <v>49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>x</v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B121" s="226"/>
      <c r="AC121" s="226"/>
      <c r="AD121" s="226"/>
    </row>
    <row r="122" spans="1:30" s="689" customFormat="1" ht="15.75" customHeight="1">
      <c r="A122" s="219" t="str">
        <f>IF(B122&lt;&gt;"",IF(AND(B122&gt;=_TM1,B122&lt;=_TM2,OR(TH!L122="1111",TH!M122="1111")),TH!D122,""),"")</f>
        <v/>
      </c>
      <c r="B122" s="36">
        <f t="shared" si="16"/>
        <v>2</v>
      </c>
      <c r="C122" s="37">
        <v>40953</v>
      </c>
      <c r="D122" s="195" t="s">
        <v>491</v>
      </c>
      <c r="E122" s="37">
        <v>40953</v>
      </c>
      <c r="F122" s="40" t="s">
        <v>474</v>
      </c>
      <c r="G122" s="577" t="s">
        <v>610</v>
      </c>
      <c r="H122" s="47" t="s">
        <v>611</v>
      </c>
      <c r="I122" s="277"/>
      <c r="J122" s="277"/>
      <c r="K122" s="698">
        <v>2000000</v>
      </c>
      <c r="L122" s="39" t="s">
        <v>65</v>
      </c>
      <c r="M122" s="699" t="s">
        <v>49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>x</v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</row>
    <row r="123" spans="1:30" s="689" customFormat="1" ht="15.75" customHeight="1">
      <c r="A123" s="219" t="str">
        <f>IF(B123&lt;&gt;"",IF(AND(B123&gt;=_TM1,B123&lt;=_TM2,OR(TH!L123="1111",TH!M123="1111")),TH!D123,""),"")</f>
        <v/>
      </c>
      <c r="B123" s="36">
        <f t="shared" si="16"/>
        <v>2</v>
      </c>
      <c r="C123" s="37">
        <v>40953</v>
      </c>
      <c r="D123" s="195" t="s">
        <v>491</v>
      </c>
      <c r="E123" s="37">
        <v>40953</v>
      </c>
      <c r="F123" s="40" t="s">
        <v>475</v>
      </c>
      <c r="G123" s="577" t="s">
        <v>610</v>
      </c>
      <c r="H123" s="47"/>
      <c r="I123" s="277"/>
      <c r="J123" s="277"/>
      <c r="K123" s="38">
        <v>2000000</v>
      </c>
      <c r="L123" s="39" t="s">
        <v>87</v>
      </c>
      <c r="M123" s="699" t="s">
        <v>65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</row>
    <row r="124" spans="1:30" s="689" customFormat="1" ht="15.75" customHeight="1">
      <c r="A124" s="219" t="str">
        <f>IF(B124&lt;&gt;"",IF(AND(B124&gt;=_TM1,B124&lt;=_TM2,OR(TH!L124="1111",TH!M124="1111")),TH!D124,""),"")</f>
        <v/>
      </c>
      <c r="B124" s="36">
        <f t="shared" si="16"/>
        <v>2</v>
      </c>
      <c r="C124" s="195">
        <v>40953</v>
      </c>
      <c r="D124" s="195" t="s">
        <v>493</v>
      </c>
      <c r="E124" s="195">
        <v>40953</v>
      </c>
      <c r="F124" s="203" t="s">
        <v>603</v>
      </c>
      <c r="G124" s="700" t="s">
        <v>612</v>
      </c>
      <c r="H124" s="45" t="s">
        <v>553</v>
      </c>
      <c r="I124" s="277"/>
      <c r="J124" s="277"/>
      <c r="K124" s="698">
        <v>1020000</v>
      </c>
      <c r="L124" s="699" t="s">
        <v>194</v>
      </c>
      <c r="M124" s="699" t="s">
        <v>49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>x</v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</row>
    <row r="125" spans="1:30" s="689" customFormat="1" ht="15.75" customHeight="1">
      <c r="A125" s="219" t="str">
        <f>IF(B125&lt;&gt;"",IF(AND(B125&gt;=_TM1,B125&lt;=_TM2,OR(TH!L125="1111",TH!M125="1111")),TH!D125,""),"")</f>
        <v/>
      </c>
      <c r="B125" s="36">
        <f t="shared" si="16"/>
        <v>2</v>
      </c>
      <c r="C125" s="195">
        <v>40953</v>
      </c>
      <c r="D125" s="195" t="s">
        <v>493</v>
      </c>
      <c r="E125" s="195">
        <v>40953</v>
      </c>
      <c r="F125" s="203" t="s">
        <v>413</v>
      </c>
      <c r="G125" s="700" t="s">
        <v>612</v>
      </c>
      <c r="H125" s="7" t="s">
        <v>553</v>
      </c>
      <c r="I125" s="277"/>
      <c r="J125" s="277"/>
      <c r="K125" s="698">
        <v>102000</v>
      </c>
      <c r="L125" s="699" t="s">
        <v>9</v>
      </c>
      <c r="M125" s="699" t="s">
        <v>49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>x</v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</row>
    <row r="126" spans="1:30" s="689" customFormat="1" ht="15.75" customHeight="1">
      <c r="A126" s="219" t="str">
        <f>IF(B126&lt;&gt;"",IF(AND(B126&gt;=_TM1,B126&lt;=_TM2,OR(TH!L126="1111",TH!M126="1111")),TH!D126,""),"")</f>
        <v/>
      </c>
      <c r="B126" s="36">
        <f t="shared" si="16"/>
        <v>2</v>
      </c>
      <c r="C126" s="195">
        <v>40954</v>
      </c>
      <c r="D126" s="195" t="s">
        <v>404</v>
      </c>
      <c r="E126" s="195">
        <v>40954</v>
      </c>
      <c r="F126" s="203" t="s">
        <v>406</v>
      </c>
      <c r="G126" s="700" t="s">
        <v>401</v>
      </c>
      <c r="H126" s="7" t="s">
        <v>1133</v>
      </c>
      <c r="I126" s="277"/>
      <c r="J126" s="277"/>
      <c r="K126" s="698">
        <v>14752000</v>
      </c>
      <c r="L126" s="699" t="s">
        <v>24</v>
      </c>
      <c r="M126" s="699" t="s">
        <v>311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>x</v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</row>
    <row r="127" spans="1:30" s="689" customFormat="1" ht="15.75" customHeight="1">
      <c r="A127" s="219" t="str">
        <f>IF(B127&lt;&gt;"",IF(AND(B127&gt;=_TM1,B127&lt;=_TM2,OR(TH!L127="1111",TH!M127="1111")),TH!D127,""),"")</f>
        <v/>
      </c>
      <c r="B127" s="36">
        <f t="shared" si="16"/>
        <v>2</v>
      </c>
      <c r="C127" s="195">
        <v>40954</v>
      </c>
      <c r="D127" s="195" t="s">
        <v>404</v>
      </c>
      <c r="E127" s="195">
        <v>40954</v>
      </c>
      <c r="F127" s="203" t="s">
        <v>406</v>
      </c>
      <c r="G127" s="700" t="s">
        <v>401</v>
      </c>
      <c r="H127" s="7" t="s">
        <v>1553</v>
      </c>
      <c r="I127" s="277"/>
      <c r="J127" s="277"/>
      <c r="K127" s="698">
        <v>125296698</v>
      </c>
      <c r="L127" s="699" t="s">
        <v>24</v>
      </c>
      <c r="M127" s="699" t="s">
        <v>311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>x</v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</row>
    <row r="128" spans="1:30" s="689" customFormat="1" ht="15.75" customHeight="1">
      <c r="A128" s="219" t="str">
        <f>IF(B128&lt;&gt;"",IF(AND(B128&gt;=_TM1,B128&lt;=_TM2,OR(TH!L128="1111",TH!M128="1111")),TH!D128,""),"")</f>
        <v/>
      </c>
      <c r="B128" s="36">
        <f t="shared" si="16"/>
        <v>2</v>
      </c>
      <c r="C128" s="37">
        <v>40955</v>
      </c>
      <c r="D128" s="195" t="s">
        <v>404</v>
      </c>
      <c r="E128" s="37">
        <v>40955</v>
      </c>
      <c r="F128" s="203" t="s">
        <v>406</v>
      </c>
      <c r="G128" s="580" t="s">
        <v>401</v>
      </c>
      <c r="H128" s="207" t="s">
        <v>1176</v>
      </c>
      <c r="I128" s="277"/>
      <c r="J128" s="279"/>
      <c r="K128" s="698">
        <v>28280340</v>
      </c>
      <c r="L128" s="39" t="s">
        <v>24</v>
      </c>
      <c r="M128" s="699" t="s">
        <v>311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>x</v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B128" s="226"/>
      <c r="AC128" s="226"/>
    </row>
    <row r="129" spans="1:30" s="689" customFormat="1" ht="15.75" customHeight="1">
      <c r="A129" s="219" t="str">
        <f>IF(B129&lt;&gt;"",IF(AND(B129&gt;=_TM1,B129&lt;=_TM2,OR(TH!L129="1111",TH!M129="1111")),TH!D129,""),"")</f>
        <v/>
      </c>
      <c r="B129" s="36">
        <f t="shared" si="16"/>
        <v>2</v>
      </c>
      <c r="C129" s="37">
        <v>40955</v>
      </c>
      <c r="D129" s="195" t="s">
        <v>497</v>
      </c>
      <c r="E129" s="37">
        <v>40955</v>
      </c>
      <c r="F129" s="203" t="s">
        <v>550</v>
      </c>
      <c r="G129" s="580" t="s">
        <v>401</v>
      </c>
      <c r="H129" s="7" t="s">
        <v>452</v>
      </c>
      <c r="I129" s="277"/>
      <c r="J129" s="279"/>
      <c r="K129" s="698">
        <v>40000000</v>
      </c>
      <c r="L129" s="39" t="s">
        <v>49</v>
      </c>
      <c r="M129" s="699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226"/>
      <c r="AC129" s="226"/>
      <c r="AD129" s="226"/>
    </row>
    <row r="130" spans="1:30" s="689" customFormat="1" ht="15.75" customHeight="1">
      <c r="A130" s="219" t="str">
        <f>IF(B130&lt;&gt;"",IF(AND(B130&gt;=_TM1,B130&lt;=_TM2,OR(TH!L130="1111",TH!M130="1111")),TH!D130,""),"")</f>
        <v/>
      </c>
      <c r="B130" s="36">
        <f t="shared" si="16"/>
        <v>2</v>
      </c>
      <c r="C130" s="37">
        <v>40955</v>
      </c>
      <c r="D130" s="195" t="s">
        <v>405</v>
      </c>
      <c r="E130" s="37">
        <v>40955</v>
      </c>
      <c r="F130" s="203" t="s">
        <v>455</v>
      </c>
      <c r="G130" s="580" t="s">
        <v>401</v>
      </c>
      <c r="H130" s="7" t="s">
        <v>487</v>
      </c>
      <c r="I130" s="277"/>
      <c r="J130" s="279"/>
      <c r="K130" s="698">
        <v>100000000</v>
      </c>
      <c r="L130" s="39" t="s">
        <v>8</v>
      </c>
      <c r="M130" s="699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226"/>
      <c r="AC130" s="226"/>
      <c r="AD130" s="226"/>
    </row>
    <row r="131" spans="1:30" s="689" customFormat="1" ht="15.75" customHeight="1">
      <c r="A131" s="219" t="str">
        <f>IF(B131&lt;&gt;"",IF(AND(B131&gt;=_TM1,B131&lt;=_TM2,OR(TH!L131="1111",TH!M131="1111")),TH!D131,""),"")</f>
        <v/>
      </c>
      <c r="B131" s="36">
        <f t="shared" si="16"/>
        <v>2</v>
      </c>
      <c r="C131" s="37">
        <v>40955</v>
      </c>
      <c r="D131" s="195" t="s">
        <v>405</v>
      </c>
      <c r="E131" s="37">
        <v>40955</v>
      </c>
      <c r="F131" s="203" t="s">
        <v>407</v>
      </c>
      <c r="G131" s="580" t="s">
        <v>401</v>
      </c>
      <c r="H131" s="7"/>
      <c r="I131" s="277"/>
      <c r="J131" s="279"/>
      <c r="K131" s="698">
        <v>10000</v>
      </c>
      <c r="L131" s="39" t="s">
        <v>87</v>
      </c>
      <c r="M131" s="699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B131" s="226"/>
      <c r="AC131" s="226"/>
      <c r="AD131" s="226"/>
    </row>
    <row r="132" spans="1:30" s="689" customFormat="1" ht="15.75" customHeight="1">
      <c r="A132" s="219" t="str">
        <f>IF(B132&lt;&gt;"",IF(AND(B132&gt;=_TM1,B132&lt;=_TM2,OR(TH!L132="1111",TH!M132="1111")),TH!D132,""),"")</f>
        <v/>
      </c>
      <c r="B132" s="36">
        <f t="shared" si="16"/>
        <v>2</v>
      </c>
      <c r="C132" s="37">
        <v>40955</v>
      </c>
      <c r="D132" s="195" t="s">
        <v>511</v>
      </c>
      <c r="E132" s="37">
        <v>40955</v>
      </c>
      <c r="F132" s="203" t="s">
        <v>458</v>
      </c>
      <c r="G132" s="580" t="s">
        <v>613</v>
      </c>
      <c r="H132" s="7" t="s">
        <v>460</v>
      </c>
      <c r="I132" s="277">
        <v>100</v>
      </c>
      <c r="J132" s="279">
        <v>25000</v>
      </c>
      <c r="K132" s="698">
        <v>2500000</v>
      </c>
      <c r="L132" s="39" t="s">
        <v>188</v>
      </c>
      <c r="M132" s="699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>x</v>
      </c>
      <c r="Z132" s="55" t="str">
        <f>IF(AND(OR(LEFT(TH!L132,2)="15",LEFT(TH!M132,2)="15"),TK!$E$7=TH!F132),"x","")</f>
        <v>x</v>
      </c>
      <c r="AA132" s="55" t="str">
        <f>IF(AND(B132&lt;=NKC!$N$8,B132&gt;=NKC!$M$8),"x","")</f>
        <v/>
      </c>
      <c r="AB132" s="226"/>
      <c r="AC132" s="226"/>
      <c r="AD132" s="226"/>
    </row>
    <row r="133" spans="1:30" s="689" customFormat="1" ht="15.75" customHeight="1">
      <c r="A133" s="219" t="str">
        <f>IF(B133&lt;&gt;"",IF(AND(B133&gt;=_TM1,B133&lt;=_TM2,OR(TH!L133="1111",TH!M133="1111")),TH!D133,""),"")</f>
        <v/>
      </c>
      <c r="B133" s="36">
        <f t="shared" si="16"/>
        <v>2</v>
      </c>
      <c r="C133" s="37">
        <v>40955</v>
      </c>
      <c r="D133" s="195" t="s">
        <v>511</v>
      </c>
      <c r="E133" s="37">
        <v>40955</v>
      </c>
      <c r="F133" s="203" t="s">
        <v>459</v>
      </c>
      <c r="G133" s="580" t="s">
        <v>613</v>
      </c>
      <c r="H133" s="7" t="s">
        <v>460</v>
      </c>
      <c r="I133" s="277"/>
      <c r="J133" s="279"/>
      <c r="K133" s="38">
        <v>250000</v>
      </c>
      <c r="L133" s="39" t="s">
        <v>9</v>
      </c>
      <c r="M133" s="699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226"/>
      <c r="AC133" s="226"/>
      <c r="AD133" s="226"/>
    </row>
    <row r="134" spans="1:30" s="689" customFormat="1" ht="15.75" customHeight="1">
      <c r="A134" s="219" t="str">
        <f>IF(B134&lt;&gt;"",IF(AND(B134&gt;=_TM1,B134&lt;=_TM2,OR(TH!L134="1111",TH!M134="1111")),TH!D134,""),"")</f>
        <v/>
      </c>
      <c r="B134" s="36">
        <f t="shared" si="16"/>
        <v>2</v>
      </c>
      <c r="C134" s="37">
        <v>40955</v>
      </c>
      <c r="D134" s="195" t="s">
        <v>494</v>
      </c>
      <c r="E134" s="37">
        <v>40955</v>
      </c>
      <c r="F134" s="203" t="s">
        <v>455</v>
      </c>
      <c r="G134" s="580" t="s">
        <v>613</v>
      </c>
      <c r="H134" s="7" t="s">
        <v>460</v>
      </c>
      <c r="I134" s="278"/>
      <c r="J134" s="279"/>
      <c r="K134" s="698">
        <v>2750000</v>
      </c>
      <c r="L134" s="39" t="s">
        <v>8</v>
      </c>
      <c r="M134" s="699" t="s">
        <v>49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>x</v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</row>
    <row r="135" spans="1:30" s="689" customFormat="1" ht="15.75" customHeight="1">
      <c r="A135" s="219" t="str">
        <f>IF(B135&lt;&gt;"",IF(AND(B135&gt;=_TM1,B135&lt;=_TM2,OR(TH!L135="1111",TH!M135="1111")),TH!D135,""),"")</f>
        <v/>
      </c>
      <c r="B135" s="36">
        <f t="shared" si="16"/>
        <v>2</v>
      </c>
      <c r="C135" s="37">
        <v>40956</v>
      </c>
      <c r="D135" s="195" t="s">
        <v>404</v>
      </c>
      <c r="E135" s="37">
        <v>40956</v>
      </c>
      <c r="F135" s="203" t="s">
        <v>614</v>
      </c>
      <c r="G135" s="580" t="s">
        <v>401</v>
      </c>
      <c r="H135" s="7" t="s">
        <v>487</v>
      </c>
      <c r="I135" s="278"/>
      <c r="J135" s="279"/>
      <c r="K135" s="698">
        <v>100000000</v>
      </c>
      <c r="L135" s="39" t="s">
        <v>24</v>
      </c>
      <c r="M135" s="699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>x</v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</row>
    <row r="136" spans="1:30" s="689" customFormat="1" ht="15.75" customHeight="1">
      <c r="A136" s="219" t="str">
        <f>IF(B136&lt;&gt;"",IF(AND(B136&gt;=_TM1,B136&lt;=_TM2,OR(TH!L136="1111",TH!M136="1111")),TH!D136,""),"")</f>
        <v/>
      </c>
      <c r="B136" s="36">
        <f t="shared" si="16"/>
        <v>2</v>
      </c>
      <c r="C136" s="37">
        <v>40956</v>
      </c>
      <c r="D136" s="195" t="s">
        <v>495</v>
      </c>
      <c r="E136" s="37">
        <v>40956</v>
      </c>
      <c r="F136" s="203" t="s">
        <v>588</v>
      </c>
      <c r="G136" s="580" t="s">
        <v>615</v>
      </c>
      <c r="H136" s="7" t="s">
        <v>590</v>
      </c>
      <c r="I136" s="277"/>
      <c r="J136" s="279"/>
      <c r="K136" s="698">
        <v>659271</v>
      </c>
      <c r="L136" s="39" t="s">
        <v>87</v>
      </c>
      <c r="M136" s="699" t="s">
        <v>49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>x</v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</row>
    <row r="137" spans="1:30" s="689" customFormat="1" ht="15.75" customHeight="1">
      <c r="A137" s="219" t="str">
        <f>IF(B137&lt;&gt;"",IF(AND(B137&gt;=_TM1,B137&lt;=_TM2,OR(TH!L137="1111",TH!M137="1111")),TH!D137,""),"")</f>
        <v/>
      </c>
      <c r="B137" s="36">
        <f t="shared" si="16"/>
        <v>2</v>
      </c>
      <c r="C137" s="37">
        <v>40956</v>
      </c>
      <c r="D137" s="195" t="s">
        <v>495</v>
      </c>
      <c r="E137" s="37">
        <v>40956</v>
      </c>
      <c r="F137" s="203" t="s">
        <v>591</v>
      </c>
      <c r="G137" s="580" t="s">
        <v>615</v>
      </c>
      <c r="H137" s="7" t="s">
        <v>590</v>
      </c>
      <c r="I137" s="279"/>
      <c r="J137" s="279"/>
      <c r="K137" s="38">
        <v>65928</v>
      </c>
      <c r="L137" s="39" t="s">
        <v>9</v>
      </c>
      <c r="M137" s="699" t="s">
        <v>49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>x</v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226"/>
      <c r="AC137" s="226"/>
      <c r="AD137" s="226"/>
    </row>
    <row r="138" spans="1:30" s="689" customFormat="1" ht="15.75" customHeight="1">
      <c r="A138" s="219" t="str">
        <f>IF(B138&lt;&gt;"",IF(AND(B138&gt;=_TM1,B138&lt;=_TM2,OR(TH!L138="1111",TH!M138="1111")),TH!D138,""),"")</f>
        <v/>
      </c>
      <c r="B138" s="36">
        <f t="shared" si="16"/>
        <v>2</v>
      </c>
      <c r="C138" s="37">
        <v>40960</v>
      </c>
      <c r="D138" s="195" t="s">
        <v>1109</v>
      </c>
      <c r="E138" s="37">
        <v>40960</v>
      </c>
      <c r="F138" s="40" t="s">
        <v>550</v>
      </c>
      <c r="G138" s="580" t="s">
        <v>401</v>
      </c>
      <c r="H138" s="7" t="s">
        <v>452</v>
      </c>
      <c r="I138" s="277"/>
      <c r="J138" s="279"/>
      <c r="K138" s="698">
        <v>28000000</v>
      </c>
      <c r="L138" s="39" t="s">
        <v>49</v>
      </c>
      <c r="M138" s="39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>x</v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B138" s="226"/>
      <c r="AC138" s="226"/>
      <c r="AD138" s="226"/>
    </row>
    <row r="139" spans="1:30" s="689" customFormat="1" ht="15.75" customHeight="1">
      <c r="A139" s="219" t="str">
        <f>IF(B139&lt;&gt;"",IF(AND(B139&gt;=_TM1,B139&lt;=_TM2,OR(TH!L139="1111",TH!M139="1111")),TH!D139,""),"")</f>
        <v/>
      </c>
      <c r="B139" s="36">
        <f t="shared" si="16"/>
        <v>2</v>
      </c>
      <c r="C139" s="37">
        <v>40960</v>
      </c>
      <c r="D139" s="195" t="s">
        <v>405</v>
      </c>
      <c r="E139" s="37">
        <v>40960</v>
      </c>
      <c r="F139" s="40" t="s">
        <v>455</v>
      </c>
      <c r="G139" s="580" t="s">
        <v>401</v>
      </c>
      <c r="H139" s="7" t="s">
        <v>487</v>
      </c>
      <c r="I139" s="277"/>
      <c r="J139" s="279"/>
      <c r="K139" s="38">
        <v>100000000</v>
      </c>
      <c r="L139" s="39" t="s">
        <v>8</v>
      </c>
      <c r="M139" s="39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B139" s="226"/>
      <c r="AC139" s="226"/>
      <c r="AD139" s="226"/>
    </row>
    <row r="140" spans="1:30" s="689" customFormat="1" ht="15.75" customHeight="1">
      <c r="A140" s="219" t="str">
        <f>IF(B140&lt;&gt;"",IF(AND(B140&gt;=_TM1,B140&lt;=_TM2,OR(TH!L140="1111",TH!M140="1111")),TH!D140,""),"")</f>
        <v/>
      </c>
      <c r="B140" s="36">
        <f t="shared" si="16"/>
        <v>2</v>
      </c>
      <c r="C140" s="37">
        <v>40960</v>
      </c>
      <c r="D140" s="195" t="s">
        <v>405</v>
      </c>
      <c r="E140" s="37">
        <v>40960</v>
      </c>
      <c r="F140" s="40" t="s">
        <v>407</v>
      </c>
      <c r="G140" s="577" t="s">
        <v>401</v>
      </c>
      <c r="H140" s="47"/>
      <c r="I140" s="277"/>
      <c r="J140" s="277"/>
      <c r="K140" s="38">
        <v>10000</v>
      </c>
      <c r="L140" s="39" t="s">
        <v>87</v>
      </c>
      <c r="M140" s="699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  <c r="AB140" s="226"/>
      <c r="AC140" s="226"/>
      <c r="AD140" s="226"/>
    </row>
    <row r="141" spans="1:30" s="689" customFormat="1" ht="15.75" customHeight="1">
      <c r="A141" s="219" t="str">
        <f>IF(B141&lt;&gt;"",IF(AND(B141&gt;=_TM1,B141&lt;=_TM2,OR(TH!L141="1111",TH!M141="1111")),TH!D141,""),"")</f>
        <v/>
      </c>
      <c r="B141" s="36">
        <f t="shared" si="16"/>
        <v>2</v>
      </c>
      <c r="C141" s="37">
        <v>40963</v>
      </c>
      <c r="D141" s="195" t="s">
        <v>496</v>
      </c>
      <c r="E141" s="37">
        <v>40963</v>
      </c>
      <c r="F141" s="40" t="s">
        <v>414</v>
      </c>
      <c r="G141" s="577" t="s">
        <v>616</v>
      </c>
      <c r="H141" s="47" t="s">
        <v>617</v>
      </c>
      <c r="I141" s="277"/>
      <c r="J141" s="277"/>
      <c r="K141" s="38">
        <v>410000</v>
      </c>
      <c r="L141" s="39" t="s">
        <v>87</v>
      </c>
      <c r="M141" s="699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689" customFormat="1" ht="15.75" customHeight="1">
      <c r="A142" s="219" t="str">
        <f>IF(B142&lt;&gt;"",IF(AND(B142&gt;=_TM1,B142&lt;=_TM2,OR(TH!L142="1111",TH!M142="1111")),TH!D142,""),"")</f>
        <v/>
      </c>
      <c r="B142" s="36">
        <f t="shared" si="16"/>
        <v>2</v>
      </c>
      <c r="C142" s="37">
        <v>40964</v>
      </c>
      <c r="D142" s="195" t="s">
        <v>404</v>
      </c>
      <c r="E142" s="37">
        <v>40964</v>
      </c>
      <c r="F142" s="40" t="s">
        <v>453</v>
      </c>
      <c r="G142" s="577" t="s">
        <v>401</v>
      </c>
      <c r="H142" s="47"/>
      <c r="I142" s="277"/>
      <c r="J142" s="277"/>
      <c r="K142" s="38">
        <v>58419</v>
      </c>
      <c r="L142" s="39" t="s">
        <v>24</v>
      </c>
      <c r="M142" s="699" t="s">
        <v>41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>x</v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  <c r="AB142" s="226"/>
      <c r="AC142" s="226"/>
      <c r="AD142" s="226"/>
    </row>
    <row r="143" spans="1:30" s="689" customFormat="1" ht="15.75" customHeight="1">
      <c r="A143" s="219" t="str">
        <f>IF(B143&lt;&gt;"",IF(AND(B143&gt;=_TM1,B143&lt;=_TM2,OR(TH!L143="1111",TH!M143="1111")),TH!D143,""),"")</f>
        <v/>
      </c>
      <c r="B143" s="36">
        <f t="shared" si="16"/>
        <v>2</v>
      </c>
      <c r="C143" s="37">
        <v>40966</v>
      </c>
      <c r="D143" s="195" t="s">
        <v>517</v>
      </c>
      <c r="E143" s="37">
        <v>40966</v>
      </c>
      <c r="F143" s="40" t="s">
        <v>569</v>
      </c>
      <c r="G143" s="577" t="s">
        <v>618</v>
      </c>
      <c r="H143" s="7" t="s">
        <v>487</v>
      </c>
      <c r="I143" s="277">
        <v>100</v>
      </c>
      <c r="J143" s="277">
        <v>13471</v>
      </c>
      <c r="K143" s="38">
        <v>1347100</v>
      </c>
      <c r="L143" s="39" t="s">
        <v>186</v>
      </c>
      <c r="M143" s="699" t="s">
        <v>8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  <c r="AB143" s="226"/>
      <c r="AC143" s="226" t="str">
        <f>IF(ISNA(VLOOKUP(F143,NXT!$C$18:$C$347,1,0)),x,"")</f>
        <v/>
      </c>
      <c r="AD143" s="226"/>
    </row>
    <row r="144" spans="1:30" s="689" customFormat="1" ht="15.75" customHeight="1">
      <c r="A144" s="219" t="str">
        <f>IF(B144&lt;&gt;"",IF(AND(B144&gt;=_TM1,B144&lt;=_TM2,OR(TH!L144="1111",TH!M144="1111")),TH!D144,""),"")</f>
        <v/>
      </c>
      <c r="B144" s="36">
        <f t="shared" si="16"/>
        <v>2</v>
      </c>
      <c r="C144" s="37">
        <v>40966</v>
      </c>
      <c r="D144" s="195" t="s">
        <v>517</v>
      </c>
      <c r="E144" s="37">
        <v>40966</v>
      </c>
      <c r="F144" s="40" t="s">
        <v>574</v>
      </c>
      <c r="G144" s="577" t="s">
        <v>618</v>
      </c>
      <c r="H144" s="7" t="s">
        <v>487</v>
      </c>
      <c r="I144" s="277">
        <v>190</v>
      </c>
      <c r="J144" s="277">
        <v>14984</v>
      </c>
      <c r="K144" s="38">
        <v>2846960</v>
      </c>
      <c r="L144" s="39" t="s">
        <v>186</v>
      </c>
      <c r="M144" s="699" t="s">
        <v>8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  <c r="AB144" s="226"/>
      <c r="AC144" s="226" t="str">
        <f>IF(ISNA(VLOOKUP(F144,NXT!$C$18:$C$347,1,0)),x,"")</f>
        <v/>
      </c>
      <c r="AD144" s="226"/>
    </row>
    <row r="145" spans="1:30" s="689" customFormat="1" ht="15.75" customHeight="1">
      <c r="A145" s="219" t="str">
        <f>IF(B145&lt;&gt;"",IF(AND(B145&gt;=_TM1,B145&lt;=_TM2,OR(TH!L145="1111",TH!M145="1111")),TH!D145,""),"")</f>
        <v/>
      </c>
      <c r="B145" s="36">
        <f t="shared" si="16"/>
        <v>2</v>
      </c>
      <c r="C145" s="195">
        <v>40966</v>
      </c>
      <c r="D145" s="195" t="s">
        <v>517</v>
      </c>
      <c r="E145" s="195">
        <v>40966</v>
      </c>
      <c r="F145" s="203" t="s">
        <v>576</v>
      </c>
      <c r="G145" s="700" t="s">
        <v>618</v>
      </c>
      <c r="H145" s="7" t="s">
        <v>487</v>
      </c>
      <c r="I145" s="277">
        <v>360</v>
      </c>
      <c r="J145" s="277">
        <v>20362</v>
      </c>
      <c r="K145" s="698">
        <v>7330320</v>
      </c>
      <c r="L145" s="699" t="s">
        <v>186</v>
      </c>
      <c r="M145" s="699" t="s">
        <v>8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  <c r="AC145" s="226" t="str">
        <f>IF(ISNA(VLOOKUP(F145,NXT!$C$18:$C$347,1,0)),x,"")</f>
        <v/>
      </c>
    </row>
    <row r="146" spans="1:30" s="689" customFormat="1" ht="15.75" customHeight="1">
      <c r="A146" s="219" t="str">
        <f>IF(B146&lt;&gt;"",IF(AND(B146&gt;=_TM1,B146&lt;=_TM2,OR(TH!L146="1111",TH!M146="1111")),TH!D146,""),"")</f>
        <v/>
      </c>
      <c r="B146" s="36">
        <f t="shared" si="16"/>
        <v>2</v>
      </c>
      <c r="C146" s="195">
        <v>40966</v>
      </c>
      <c r="D146" s="195" t="s">
        <v>517</v>
      </c>
      <c r="E146" s="195">
        <v>40966</v>
      </c>
      <c r="F146" s="203" t="s">
        <v>619</v>
      </c>
      <c r="G146" s="700" t="s">
        <v>618</v>
      </c>
      <c r="H146" s="7" t="s">
        <v>487</v>
      </c>
      <c r="I146" s="277">
        <v>100</v>
      </c>
      <c r="J146" s="277">
        <v>11508</v>
      </c>
      <c r="K146" s="698">
        <v>1150800</v>
      </c>
      <c r="L146" s="699" t="s">
        <v>186</v>
      </c>
      <c r="M146" s="699" t="s">
        <v>8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/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  <c r="AC146" s="226" t="str">
        <f>IF(ISNA(VLOOKUP(F146,NXT!$C$18:$C$347,1,0)),x,"")</f>
        <v/>
      </c>
      <c r="AD146" s="226"/>
    </row>
    <row r="147" spans="1:30" s="689" customFormat="1" ht="15.75" customHeight="1">
      <c r="A147" s="219" t="str">
        <f>IF(B147&lt;&gt;"",IF(AND(B147&gt;=_TM1,B147&lt;=_TM2,OR(TH!L147="1111",TH!M147="1111")),TH!D147,""),"")</f>
        <v/>
      </c>
      <c r="B147" s="36">
        <f t="shared" si="16"/>
        <v>2</v>
      </c>
      <c r="C147" s="37">
        <v>40966</v>
      </c>
      <c r="D147" s="195" t="s">
        <v>517</v>
      </c>
      <c r="E147" s="37">
        <v>40966</v>
      </c>
      <c r="F147" s="203" t="s">
        <v>620</v>
      </c>
      <c r="G147" s="580" t="s">
        <v>618</v>
      </c>
      <c r="H147" s="7" t="s">
        <v>487</v>
      </c>
      <c r="I147" s="277">
        <v>100</v>
      </c>
      <c r="J147" s="279">
        <v>15344</v>
      </c>
      <c r="K147" s="698">
        <v>1534400</v>
      </c>
      <c r="L147" s="39" t="s">
        <v>186</v>
      </c>
      <c r="M147" s="699" t="s">
        <v>8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  <c r="AB147" s="226"/>
      <c r="AC147" s="226" t="str">
        <f>IF(ISNA(VLOOKUP(F147,NXT!$C$18:$C$347,1,0)),x,"")</f>
        <v/>
      </c>
      <c r="AD147" s="226"/>
    </row>
    <row r="148" spans="1:30" s="689" customFormat="1" ht="15.75" customHeight="1">
      <c r="A148" s="219" t="str">
        <f>IF(B148&lt;&gt;"",IF(AND(B148&gt;=_TM1,B148&lt;=_TM2,OR(TH!L148="1111",TH!M148="1111")),TH!D148,""),"")</f>
        <v/>
      </c>
      <c r="B148" s="36">
        <f t="shared" si="16"/>
        <v>2</v>
      </c>
      <c r="C148" s="37">
        <v>40966</v>
      </c>
      <c r="D148" s="195" t="s">
        <v>517</v>
      </c>
      <c r="E148" s="37">
        <v>40966</v>
      </c>
      <c r="F148" s="203" t="s">
        <v>621</v>
      </c>
      <c r="G148" s="580" t="s">
        <v>618</v>
      </c>
      <c r="H148" s="7" t="s">
        <v>487</v>
      </c>
      <c r="I148" s="278">
        <v>250</v>
      </c>
      <c r="J148" s="279">
        <v>12053</v>
      </c>
      <c r="K148" s="698">
        <v>3013250</v>
      </c>
      <c r="L148" s="39" t="s">
        <v>186</v>
      </c>
      <c r="M148" s="699" t="s">
        <v>8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  <c r="AB148" s="226"/>
      <c r="AC148" s="226" t="str">
        <f>IF(ISNA(VLOOKUP(F148,NXT!$C$18:$C$347,1,0)),x,"")</f>
        <v/>
      </c>
      <c r="AD148" s="226"/>
    </row>
    <row r="149" spans="1:30" s="689" customFormat="1" ht="15.75" customHeight="1">
      <c r="A149" s="219" t="str">
        <f>IF(B149&lt;&gt;"",IF(AND(B149&gt;=_TM1,B149&lt;=_TM2,OR(TH!L149="1111",TH!M149="1111")),TH!D149,""),"")</f>
        <v/>
      </c>
      <c r="B149" s="36">
        <f t="shared" si="16"/>
        <v>2</v>
      </c>
      <c r="C149" s="37">
        <v>40966</v>
      </c>
      <c r="D149" s="195" t="s">
        <v>517</v>
      </c>
      <c r="E149" s="37">
        <v>40966</v>
      </c>
      <c r="F149" s="203" t="s">
        <v>622</v>
      </c>
      <c r="G149" s="580" t="s">
        <v>618</v>
      </c>
      <c r="H149" s="7" t="s">
        <v>487</v>
      </c>
      <c r="I149" s="277">
        <v>260</v>
      </c>
      <c r="J149" s="279">
        <v>32728</v>
      </c>
      <c r="K149" s="698">
        <v>8509280</v>
      </c>
      <c r="L149" s="39" t="s">
        <v>186</v>
      </c>
      <c r="M149" s="699" t="s">
        <v>8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 t="str">
        <f>IF(ISNA(VLOOKUP(F149,NXT!$C$18:$C$347,1,0)),x,"")</f>
        <v/>
      </c>
      <c r="AD149" s="226"/>
    </row>
    <row r="150" spans="1:30" s="689" customFormat="1" ht="15.75" customHeight="1">
      <c r="A150" s="219" t="str">
        <f>IF(B150&lt;&gt;"",IF(AND(B150&gt;=_TM1,B150&lt;=_TM2,OR(TH!L150="1111",TH!M150="1111")),TH!D150,""),"")</f>
        <v/>
      </c>
      <c r="B150" s="36">
        <f t="shared" si="16"/>
        <v>2</v>
      </c>
      <c r="C150" s="37">
        <v>40966</v>
      </c>
      <c r="D150" s="195" t="s">
        <v>517</v>
      </c>
      <c r="E150" s="37">
        <v>40966</v>
      </c>
      <c r="F150" s="203" t="s">
        <v>623</v>
      </c>
      <c r="G150" s="580" t="s">
        <v>618</v>
      </c>
      <c r="H150" s="7" t="s">
        <v>487</v>
      </c>
      <c r="I150" s="278">
        <v>100</v>
      </c>
      <c r="J150" s="279">
        <v>27630</v>
      </c>
      <c r="K150" s="38">
        <v>2763000</v>
      </c>
      <c r="L150" s="39" t="s">
        <v>186</v>
      </c>
      <c r="M150" s="699" t="s">
        <v>8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C150" s="226" t="str">
        <f>IF(ISNA(VLOOKUP(F150,NXT!$C$18:$C$347,1,0)),x,"")</f>
        <v/>
      </c>
    </row>
    <row r="151" spans="1:30" s="689" customFormat="1" ht="15.75" customHeight="1">
      <c r="A151" s="219" t="str">
        <f>IF(B151&lt;&gt;"",IF(AND(B151&gt;=_TM1,B151&lt;=_TM2,OR(TH!L151="1111",TH!M151="1111")),TH!D151,""),"")</f>
        <v/>
      </c>
      <c r="B151" s="36">
        <f t="shared" si="16"/>
        <v>2</v>
      </c>
      <c r="C151" s="37">
        <v>40966</v>
      </c>
      <c r="D151" s="195" t="s">
        <v>517</v>
      </c>
      <c r="E151" s="37">
        <v>40966</v>
      </c>
      <c r="F151" s="40" t="s">
        <v>573</v>
      </c>
      <c r="G151" s="577" t="s">
        <v>618</v>
      </c>
      <c r="H151" s="7" t="s">
        <v>487</v>
      </c>
      <c r="I151" s="277"/>
      <c r="J151" s="277"/>
      <c r="K151" s="38">
        <v>2849511</v>
      </c>
      <c r="L151" s="39" t="s">
        <v>9</v>
      </c>
      <c r="M151" s="699" t="s">
        <v>8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226"/>
      <c r="AC151" s="226"/>
      <c r="AD151" s="226"/>
    </row>
    <row r="152" spans="1:30" s="689" customFormat="1" ht="15.75" customHeight="1">
      <c r="A152" s="219" t="str">
        <f>IF(B152&lt;&gt;"",IF(AND(B152&gt;=_TM1,B152&lt;=_TM2,OR(TH!L152="1111",TH!M152="1111")),TH!D152,""),"")</f>
        <v/>
      </c>
      <c r="B152" s="36">
        <f t="shared" si="16"/>
        <v>2</v>
      </c>
      <c r="C152" s="37">
        <v>40966</v>
      </c>
      <c r="D152" s="195" t="s">
        <v>518</v>
      </c>
      <c r="E152" s="37">
        <v>40966</v>
      </c>
      <c r="F152" s="40" t="s">
        <v>624</v>
      </c>
      <c r="G152" s="577" t="s">
        <v>625</v>
      </c>
      <c r="H152" s="7" t="s">
        <v>487</v>
      </c>
      <c r="I152" s="277">
        <v>100</v>
      </c>
      <c r="J152" s="277">
        <v>14729</v>
      </c>
      <c r="K152" s="38">
        <v>1472900</v>
      </c>
      <c r="L152" s="39" t="s">
        <v>186</v>
      </c>
      <c r="M152" s="699" t="s">
        <v>8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226"/>
      <c r="AC152" s="226" t="str">
        <f>IF(ISNA(VLOOKUP(F152,NXT!$C$18:$C$347,1,0)),x,"")</f>
        <v/>
      </c>
      <c r="AD152" s="226"/>
    </row>
    <row r="153" spans="1:30" s="689" customFormat="1" ht="15.75" customHeight="1">
      <c r="A153" s="219" t="str">
        <f>IF(B153&lt;&gt;"",IF(AND(B153&gt;=_TM1,B153&lt;=_TM2,OR(TH!L153="1111",TH!M153="1111")),TH!D153,""),"")</f>
        <v/>
      </c>
      <c r="B153" s="36">
        <f t="shared" si="16"/>
        <v>2</v>
      </c>
      <c r="C153" s="37">
        <v>40966</v>
      </c>
      <c r="D153" s="195" t="s">
        <v>518</v>
      </c>
      <c r="E153" s="37">
        <v>40966</v>
      </c>
      <c r="F153" s="40" t="s">
        <v>626</v>
      </c>
      <c r="G153" s="580" t="s">
        <v>625</v>
      </c>
      <c r="H153" s="7" t="s">
        <v>487</v>
      </c>
      <c r="I153" s="278">
        <v>250</v>
      </c>
      <c r="J153" s="279">
        <v>12735</v>
      </c>
      <c r="K153" s="38">
        <v>3183750</v>
      </c>
      <c r="L153" s="39" t="s">
        <v>186</v>
      </c>
      <c r="M153" s="699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C153" s="226" t="str">
        <f>IF(ISNA(VLOOKUP(F153,NXT!$C$18:$C$347,1,0)),x,"")</f>
        <v/>
      </c>
    </row>
    <row r="154" spans="1:30" s="689" customFormat="1" ht="15.75" customHeight="1">
      <c r="A154" s="219" t="str">
        <f>IF(B154&lt;&gt;"",IF(AND(B154&gt;=_TM1,B154&lt;=_TM2,OR(TH!L154="1111",TH!M154="1111")),TH!D154,""),"")</f>
        <v/>
      </c>
      <c r="B154" s="36">
        <f t="shared" si="16"/>
        <v>2</v>
      </c>
      <c r="C154" s="37">
        <v>40966</v>
      </c>
      <c r="D154" s="195" t="s">
        <v>518</v>
      </c>
      <c r="E154" s="37">
        <v>40966</v>
      </c>
      <c r="F154" s="40" t="s">
        <v>484</v>
      </c>
      <c r="G154" s="580" t="s">
        <v>625</v>
      </c>
      <c r="H154" s="7" t="s">
        <v>487</v>
      </c>
      <c r="I154" s="278">
        <v>340</v>
      </c>
      <c r="J154" s="278">
        <v>30158</v>
      </c>
      <c r="K154" s="38">
        <v>10253720</v>
      </c>
      <c r="L154" s="39" t="s">
        <v>186</v>
      </c>
      <c r="M154" s="699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226"/>
      <c r="AC154" s="226" t="str">
        <f>IF(ISNA(VLOOKUP(F154,NXT!$C$18:$C$347,1,0)),x,"")</f>
        <v/>
      </c>
    </row>
    <row r="155" spans="1:30" s="689" customFormat="1" ht="15.75" customHeight="1">
      <c r="A155" s="219" t="str">
        <f>IF(B155&lt;&gt;"",IF(AND(B155&gt;=_TM1,B155&lt;=_TM2,OR(TH!L155="1111",TH!M155="1111")),TH!D155,""),"")</f>
        <v/>
      </c>
      <c r="B155" s="36">
        <f t="shared" si="16"/>
        <v>2</v>
      </c>
      <c r="C155" s="37">
        <v>40966</v>
      </c>
      <c r="D155" s="195" t="s">
        <v>518</v>
      </c>
      <c r="E155" s="37">
        <v>40966</v>
      </c>
      <c r="F155" s="40" t="s">
        <v>485</v>
      </c>
      <c r="G155" s="577" t="s">
        <v>625</v>
      </c>
      <c r="H155" s="7" t="s">
        <v>487</v>
      </c>
      <c r="I155" s="277">
        <v>500</v>
      </c>
      <c r="J155" s="277">
        <v>32878</v>
      </c>
      <c r="K155" s="38">
        <v>16439000</v>
      </c>
      <c r="L155" s="39" t="s">
        <v>186</v>
      </c>
      <c r="M155" s="699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226"/>
      <c r="AC155" s="226" t="str">
        <f>IF(ISNA(VLOOKUP(F155,NXT!$C$18:$C$347,1,0)),x,"")</f>
        <v/>
      </c>
      <c r="AD155" s="226"/>
    </row>
    <row r="156" spans="1:30" s="689" customFormat="1" ht="15.75" customHeight="1">
      <c r="A156" s="219" t="str">
        <f>IF(B156&lt;&gt;"",IF(AND(B156&gt;=_TM1,B156&lt;=_TM2,OR(TH!L156="1111",TH!M156="1111")),TH!D156,""),"")</f>
        <v/>
      </c>
      <c r="B156" s="36">
        <f t="shared" si="16"/>
        <v>2</v>
      </c>
      <c r="C156" s="37">
        <v>40966</v>
      </c>
      <c r="D156" s="195" t="s">
        <v>518</v>
      </c>
      <c r="E156" s="37">
        <v>40966</v>
      </c>
      <c r="F156" s="40" t="s">
        <v>627</v>
      </c>
      <c r="G156" s="577" t="s">
        <v>625</v>
      </c>
      <c r="H156" s="7" t="s">
        <v>487</v>
      </c>
      <c r="I156" s="277">
        <v>280</v>
      </c>
      <c r="J156" s="277">
        <v>18840</v>
      </c>
      <c r="K156" s="38">
        <v>5275200</v>
      </c>
      <c r="L156" s="39" t="s">
        <v>186</v>
      </c>
      <c r="M156" s="699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226"/>
      <c r="AC156" s="226" t="str">
        <f>IF(ISNA(VLOOKUP(F156,NXT!$C$18:$C$347,1,0)),x,"")</f>
        <v/>
      </c>
      <c r="AD156" s="226"/>
    </row>
    <row r="157" spans="1:30" s="689" customFormat="1" ht="15.75" customHeight="1">
      <c r="A157" s="219" t="str">
        <f>IF(B157&lt;&gt;"",IF(AND(B157&gt;=_TM1,B157&lt;=_TM2,OR(TH!L157="1111",TH!M157="1111")),TH!D157,""),"")</f>
        <v/>
      </c>
      <c r="B157" s="36">
        <f t="shared" si="16"/>
        <v>2</v>
      </c>
      <c r="C157" s="37">
        <v>40966</v>
      </c>
      <c r="D157" s="195" t="s">
        <v>518</v>
      </c>
      <c r="E157" s="37">
        <v>40966</v>
      </c>
      <c r="F157" s="40" t="s">
        <v>573</v>
      </c>
      <c r="G157" s="577" t="s">
        <v>625</v>
      </c>
      <c r="H157" s="7" t="s">
        <v>487</v>
      </c>
      <c r="I157" s="278"/>
      <c r="J157" s="277"/>
      <c r="K157" s="38">
        <v>3662457</v>
      </c>
      <c r="L157" s="39" t="s">
        <v>9</v>
      </c>
      <c r="M157" s="699" t="s">
        <v>8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226"/>
      <c r="AC157" s="226"/>
      <c r="AD157" s="226"/>
    </row>
    <row r="158" spans="1:30" s="689" customFormat="1" ht="15.75" customHeight="1">
      <c r="A158" s="219" t="str">
        <f>IF(B158&lt;&gt;"",IF(AND(B158&gt;=_TM1,B158&lt;=_TM2,OR(TH!L158="1111",TH!M158="1111")),TH!D158,""),"")</f>
        <v/>
      </c>
      <c r="B158" s="36">
        <f t="shared" si="16"/>
        <v>2</v>
      </c>
      <c r="C158" s="195">
        <v>40968</v>
      </c>
      <c r="D158" s="195" t="s">
        <v>519</v>
      </c>
      <c r="E158" s="195">
        <v>40968</v>
      </c>
      <c r="F158" s="203" t="s">
        <v>628</v>
      </c>
      <c r="G158" s="700" t="s">
        <v>629</v>
      </c>
      <c r="H158" s="45" t="s">
        <v>630</v>
      </c>
      <c r="I158" s="277">
        <v>200</v>
      </c>
      <c r="J158" s="277">
        <v>13372</v>
      </c>
      <c r="K158" s="698">
        <v>2674400</v>
      </c>
      <c r="L158" s="699" t="s">
        <v>186</v>
      </c>
      <c r="M158" s="699" t="s">
        <v>8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C158" s="226" t="str">
        <f>IF(ISNA(VLOOKUP(F158,NXT!$C$18:$C$347,1,0)),x,"")</f>
        <v/>
      </c>
      <c r="AD158" s="226"/>
    </row>
    <row r="159" spans="1:30" s="689" customFormat="1" ht="15.75" customHeight="1">
      <c r="A159" s="219" t="str">
        <f>IF(B159&lt;&gt;"",IF(AND(B159&gt;=_TM1,B159&lt;=_TM2,OR(TH!L159="1111",TH!M159="1111")),TH!D159,""),"")</f>
        <v/>
      </c>
      <c r="B159" s="36">
        <f t="shared" si="16"/>
        <v>2</v>
      </c>
      <c r="C159" s="37">
        <v>40968</v>
      </c>
      <c r="D159" s="195" t="s">
        <v>519</v>
      </c>
      <c r="E159" s="37">
        <v>40968</v>
      </c>
      <c r="F159" s="203" t="s">
        <v>631</v>
      </c>
      <c r="G159" s="580" t="s">
        <v>629</v>
      </c>
      <c r="H159" s="7" t="s">
        <v>630</v>
      </c>
      <c r="I159" s="277">
        <v>22</v>
      </c>
      <c r="J159" s="279">
        <v>17626</v>
      </c>
      <c r="K159" s="698">
        <v>387772</v>
      </c>
      <c r="L159" s="39" t="s">
        <v>186</v>
      </c>
      <c r="M159" s="699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C159" s="226" t="str">
        <f>IF(ISNA(VLOOKUP(F159,NXT!$C$18:$C$347,1,0)),x,"")</f>
        <v/>
      </c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16"/>
        <v>2</v>
      </c>
      <c r="C160" s="37">
        <v>40968</v>
      </c>
      <c r="D160" s="195" t="s">
        <v>519</v>
      </c>
      <c r="E160" s="37">
        <v>40968</v>
      </c>
      <c r="F160" s="203" t="s">
        <v>632</v>
      </c>
      <c r="G160" s="580" t="s">
        <v>629</v>
      </c>
      <c r="H160" s="7" t="s">
        <v>630</v>
      </c>
      <c r="I160" s="277">
        <v>180</v>
      </c>
      <c r="J160" s="277">
        <v>23610</v>
      </c>
      <c r="K160" s="698">
        <v>4249800</v>
      </c>
      <c r="L160" s="39" t="s">
        <v>186</v>
      </c>
      <c r="M160" s="699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C160" s="226" t="str">
        <f>IF(ISNA(VLOOKUP(F160,NXT!$C$18:$C$347,1,0)),x,"")</f>
        <v/>
      </c>
      <c r="AD160" s="689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16"/>
        <v>2</v>
      </c>
      <c r="C161" s="37">
        <v>40968</v>
      </c>
      <c r="D161" s="195" t="s">
        <v>519</v>
      </c>
      <c r="E161" s="37">
        <v>40968</v>
      </c>
      <c r="F161" s="203" t="s">
        <v>633</v>
      </c>
      <c r="G161" s="580" t="s">
        <v>629</v>
      </c>
      <c r="H161" s="7" t="s">
        <v>630</v>
      </c>
      <c r="I161" s="277">
        <v>29</v>
      </c>
      <c r="J161" s="277">
        <v>23827</v>
      </c>
      <c r="K161" s="698">
        <v>690983</v>
      </c>
      <c r="L161" s="39" t="s">
        <v>186</v>
      </c>
      <c r="M161" s="699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689"/>
      <c r="AC161" s="226" t="str">
        <f>IF(ISNA(VLOOKUP(F161,NXT!$C$18:$C$347,1,0)),x,"")</f>
        <v/>
      </c>
      <c r="AD161" s="689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16"/>
        <v>2</v>
      </c>
      <c r="C162" s="37">
        <v>40968</v>
      </c>
      <c r="D162" s="195" t="s">
        <v>519</v>
      </c>
      <c r="E162" s="37">
        <v>40968</v>
      </c>
      <c r="F162" s="203" t="s">
        <v>634</v>
      </c>
      <c r="G162" s="580" t="s">
        <v>629</v>
      </c>
      <c r="H162" s="7" t="s">
        <v>630</v>
      </c>
      <c r="I162" s="277">
        <v>230</v>
      </c>
      <c r="J162" s="277">
        <v>20213</v>
      </c>
      <c r="K162" s="698">
        <v>4648990</v>
      </c>
      <c r="L162" s="39" t="s">
        <v>186</v>
      </c>
      <c r="M162" s="699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689"/>
      <c r="AC162" s="226" t="str">
        <f>IF(ISNA(VLOOKUP(F162,NXT!$C$18:$C$347,1,0)),x,"")</f>
        <v/>
      </c>
      <c r="AD162" s="689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16"/>
        <v>2</v>
      </c>
      <c r="C163" s="37">
        <v>40968</v>
      </c>
      <c r="D163" s="195" t="s">
        <v>519</v>
      </c>
      <c r="E163" s="37">
        <v>40968</v>
      </c>
      <c r="F163" s="203" t="s">
        <v>635</v>
      </c>
      <c r="G163" s="580" t="s">
        <v>629</v>
      </c>
      <c r="H163" s="7" t="s">
        <v>630</v>
      </c>
      <c r="I163" s="277">
        <v>85</v>
      </c>
      <c r="J163" s="277">
        <v>22185</v>
      </c>
      <c r="K163" s="38">
        <v>1885725</v>
      </c>
      <c r="L163" s="39" t="s">
        <v>186</v>
      </c>
      <c r="M163" s="699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689"/>
    </row>
    <row r="164" spans="1:30" s="226" customFormat="1" ht="15.75" customHeight="1">
      <c r="A164" s="219" t="str">
        <f>IF(B164&lt;&gt;"",IF(AND(B164&gt;=_TM1,B164&lt;=_TM2,OR(TH!L164="1111",TH!M164="1111")),TH!D164,""),"")</f>
        <v/>
      </c>
      <c r="B164" s="36">
        <f t="shared" si="16"/>
        <v>2</v>
      </c>
      <c r="C164" s="37">
        <v>40968</v>
      </c>
      <c r="D164" s="195" t="s">
        <v>519</v>
      </c>
      <c r="E164" s="37">
        <v>40968</v>
      </c>
      <c r="F164" s="203" t="s">
        <v>636</v>
      </c>
      <c r="G164" s="580" t="s">
        <v>629</v>
      </c>
      <c r="H164" s="7" t="s">
        <v>630</v>
      </c>
      <c r="I164" s="277">
        <v>255</v>
      </c>
      <c r="J164" s="277">
        <v>19424</v>
      </c>
      <c r="K164" s="698">
        <v>4953120</v>
      </c>
      <c r="L164" s="39" t="s">
        <v>186</v>
      </c>
      <c r="M164" s="699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B164" s="689"/>
      <c r="AC164" s="226" t="str">
        <f>IF(ISNA(VLOOKUP(F164,NXT!$C$18:$C$347,1,0)),x,"")</f>
        <v/>
      </c>
      <c r="AD164" s="689"/>
    </row>
    <row r="165" spans="1:30" s="226" customFormat="1" ht="15.75" customHeight="1">
      <c r="A165" s="219" t="str">
        <f>IF(B165&lt;&gt;"",IF(AND(B165&gt;=_TM1,B165&lt;=_TM2,OR(TH!L165="1111",TH!M165="1111")),TH!D165,""),"")</f>
        <v/>
      </c>
      <c r="B165" s="36">
        <f t="shared" si="16"/>
        <v>2</v>
      </c>
      <c r="C165" s="37">
        <v>40968</v>
      </c>
      <c r="D165" s="195" t="s">
        <v>520</v>
      </c>
      <c r="E165" s="37">
        <v>40968</v>
      </c>
      <c r="F165" s="203" t="s">
        <v>637</v>
      </c>
      <c r="G165" s="580" t="s">
        <v>629</v>
      </c>
      <c r="H165" s="7" t="s">
        <v>630</v>
      </c>
      <c r="I165" s="277">
        <v>35</v>
      </c>
      <c r="J165" s="277">
        <v>21199</v>
      </c>
      <c r="K165" s="698">
        <v>741965</v>
      </c>
      <c r="L165" s="39" t="s">
        <v>186</v>
      </c>
      <c r="M165" s="699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B165" s="689"/>
      <c r="AC165" s="226" t="str">
        <f>IF(ISNA(VLOOKUP(F165,NXT!$C$18:$C$347,1,0)),x,"")</f>
        <v/>
      </c>
      <c r="AD165" s="689"/>
    </row>
    <row r="166" spans="1:30" s="226" customFormat="1" ht="15.75" customHeight="1">
      <c r="A166" s="219" t="str">
        <f>IF(B166&lt;&gt;"",IF(AND(B166&gt;=_TM1,B166&lt;=_TM2,OR(TH!L166="1111",TH!M166="1111")),TH!D166,""),"")</f>
        <v/>
      </c>
      <c r="B166" s="36">
        <f t="shared" si="16"/>
        <v>2</v>
      </c>
      <c r="C166" s="37">
        <v>40968</v>
      </c>
      <c r="D166" s="195" t="s">
        <v>520</v>
      </c>
      <c r="E166" s="37">
        <v>40968</v>
      </c>
      <c r="F166" s="203" t="s">
        <v>638</v>
      </c>
      <c r="G166" s="580" t="s">
        <v>629</v>
      </c>
      <c r="H166" s="7" t="s">
        <v>630</v>
      </c>
      <c r="I166" s="277">
        <v>30</v>
      </c>
      <c r="J166" s="277">
        <v>13641</v>
      </c>
      <c r="K166" s="698">
        <v>409230</v>
      </c>
      <c r="L166" s="39" t="s">
        <v>186</v>
      </c>
      <c r="M166" s="699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B166" s="689"/>
      <c r="AC166" s="226" t="str">
        <f>IF(ISNA(VLOOKUP(F166,NXT!$C$18:$C$347,1,0)),x,"")</f>
        <v/>
      </c>
      <c r="AD166" s="689"/>
    </row>
    <row r="167" spans="1:30" s="226" customFormat="1" ht="15.75" customHeight="1">
      <c r="A167" s="219" t="str">
        <f>IF(B167&lt;&gt;"",IF(AND(B167&gt;=_TM1,B167&lt;=_TM2,OR(TH!L167="1111",TH!M167="1111")),TH!D167,""),"")</f>
        <v/>
      </c>
      <c r="B167" s="36">
        <f t="shared" si="16"/>
        <v>2</v>
      </c>
      <c r="C167" s="37">
        <v>40968</v>
      </c>
      <c r="D167" s="195" t="s">
        <v>520</v>
      </c>
      <c r="E167" s="37">
        <v>40968</v>
      </c>
      <c r="F167" s="203" t="s">
        <v>639</v>
      </c>
      <c r="G167" s="580" t="s">
        <v>629</v>
      </c>
      <c r="H167" s="7" t="s">
        <v>630</v>
      </c>
      <c r="I167" s="277">
        <v>50</v>
      </c>
      <c r="J167" s="277">
        <v>14161</v>
      </c>
      <c r="K167" s="698">
        <v>708050</v>
      </c>
      <c r="L167" s="39" t="s">
        <v>186</v>
      </c>
      <c r="M167" s="699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689"/>
      <c r="AC167" s="226" t="str">
        <f>IF(ISNA(VLOOKUP(F167,NXT!$C$18:$C$347,1,0)),x,"")</f>
        <v/>
      </c>
      <c r="AD167" s="689"/>
    </row>
    <row r="168" spans="1:30" s="226" customFormat="1" ht="15.75" customHeight="1">
      <c r="A168" s="219" t="str">
        <f>IF(B168&lt;&gt;"",IF(AND(B168&gt;=_TM1,B168&lt;=_TM2,OR(TH!L168="1111",TH!M168="1111")),TH!D168,""),"")</f>
        <v/>
      </c>
      <c r="B168" s="36">
        <f t="shared" si="16"/>
        <v>2</v>
      </c>
      <c r="C168" s="37">
        <v>40968</v>
      </c>
      <c r="D168" s="195" t="s">
        <v>520</v>
      </c>
      <c r="E168" s="37">
        <v>40968</v>
      </c>
      <c r="F168" s="203" t="s">
        <v>640</v>
      </c>
      <c r="G168" s="580" t="s">
        <v>629</v>
      </c>
      <c r="H168" s="7" t="s">
        <v>630</v>
      </c>
      <c r="I168" s="278">
        <v>70</v>
      </c>
      <c r="J168" s="278">
        <v>14875</v>
      </c>
      <c r="K168" s="698">
        <v>1041250</v>
      </c>
      <c r="L168" s="39" t="s">
        <v>186</v>
      </c>
      <c r="M168" s="699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  <c r="AD168" s="689"/>
    </row>
    <row r="169" spans="1:30" s="226" customFormat="1" ht="15.75" customHeight="1">
      <c r="A169" s="219" t="str">
        <f>IF(B169&lt;&gt;"",IF(AND(B169&gt;=_TM1,B169&lt;=_TM2,OR(TH!L169="1111",TH!M169="1111")),TH!D169,""),"")</f>
        <v/>
      </c>
      <c r="B169" s="36">
        <f t="shared" si="16"/>
        <v>2</v>
      </c>
      <c r="C169" s="37">
        <v>40968</v>
      </c>
      <c r="D169" s="195" t="s">
        <v>520</v>
      </c>
      <c r="E169" s="37">
        <v>40968</v>
      </c>
      <c r="F169" s="203" t="s">
        <v>641</v>
      </c>
      <c r="G169" s="580" t="s">
        <v>629</v>
      </c>
      <c r="H169" s="7" t="s">
        <v>630</v>
      </c>
      <c r="I169" s="278">
        <v>30</v>
      </c>
      <c r="J169" s="278">
        <v>15385</v>
      </c>
      <c r="K169" s="698">
        <v>461550</v>
      </c>
      <c r="L169" s="39" t="s">
        <v>186</v>
      </c>
      <c r="M169" s="699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689"/>
      <c r="AC169" s="226" t="str">
        <f>IF(ISNA(VLOOKUP(F169,NXT!$C$18:$C$347,1,0)),x,"")</f>
        <v/>
      </c>
      <c r="AD169" s="689"/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16"/>
        <v>2</v>
      </c>
      <c r="C170" s="37">
        <v>40968</v>
      </c>
      <c r="D170" s="195" t="s">
        <v>520</v>
      </c>
      <c r="E170" s="37">
        <v>40968</v>
      </c>
      <c r="F170" s="203" t="s">
        <v>642</v>
      </c>
      <c r="G170" s="580" t="s">
        <v>629</v>
      </c>
      <c r="H170" s="7" t="s">
        <v>630</v>
      </c>
      <c r="I170" s="277">
        <v>40</v>
      </c>
      <c r="J170" s="277">
        <v>13372</v>
      </c>
      <c r="K170" s="698">
        <v>534880</v>
      </c>
      <c r="L170" s="39" t="s">
        <v>186</v>
      </c>
      <c r="M170" s="699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C170" s="226" t="str">
        <f>IF(ISNA(VLOOKUP(F170,NXT!$C$18:$C$347,1,0)),x,"")</f>
        <v/>
      </c>
      <c r="AD170" s="689"/>
    </row>
    <row r="171" spans="1:30" s="689" customFormat="1" ht="15.75" customHeight="1">
      <c r="A171" s="219" t="str">
        <f>IF(B171&lt;&gt;"",IF(AND(B171&gt;=_TM1,B171&lt;=_TM2,OR(TH!L171="1111",TH!M171="1111")),TH!D171,""),"")</f>
        <v/>
      </c>
      <c r="B171" s="36">
        <f t="shared" si="16"/>
        <v>2</v>
      </c>
      <c r="C171" s="37">
        <v>40968</v>
      </c>
      <c r="D171" s="195" t="s">
        <v>520</v>
      </c>
      <c r="E171" s="37">
        <v>40968</v>
      </c>
      <c r="F171" s="203" t="s">
        <v>643</v>
      </c>
      <c r="G171" s="580" t="s">
        <v>629</v>
      </c>
      <c r="H171" s="7" t="s">
        <v>630</v>
      </c>
      <c r="I171" s="277">
        <v>50</v>
      </c>
      <c r="J171" s="277">
        <v>16176</v>
      </c>
      <c r="K171" s="38">
        <v>808800</v>
      </c>
      <c r="L171" s="39" t="s">
        <v>186</v>
      </c>
      <c r="M171" s="699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C171" s="226" t="str">
        <f>IF(ISNA(VLOOKUP(F171,NXT!$C$18:$C$347,1,0)),x,"")</f>
        <v/>
      </c>
    </row>
    <row r="172" spans="1:30" s="689" customFormat="1" ht="15.75" customHeight="1">
      <c r="A172" s="219" t="str">
        <f>IF(B172&lt;&gt;"",IF(AND(B172&gt;=_TM1,B172&lt;=_TM2,OR(TH!L172="1111",TH!M172="1111")),TH!D172,""),"")</f>
        <v/>
      </c>
      <c r="B172" s="36">
        <f t="shared" si="16"/>
        <v>2</v>
      </c>
      <c r="C172" s="195">
        <v>40968</v>
      </c>
      <c r="D172" s="195" t="s">
        <v>520</v>
      </c>
      <c r="E172" s="195">
        <v>40968</v>
      </c>
      <c r="F172" s="203" t="s">
        <v>644</v>
      </c>
      <c r="G172" s="700" t="s">
        <v>629</v>
      </c>
      <c r="H172" s="45" t="s">
        <v>630</v>
      </c>
      <c r="I172" s="277"/>
      <c r="J172" s="277"/>
      <c r="K172" s="698">
        <v>2419652</v>
      </c>
      <c r="L172" s="699" t="s">
        <v>9</v>
      </c>
      <c r="M172" s="699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</row>
    <row r="173" spans="1:30" s="689" customFormat="1" ht="15.75" customHeight="1">
      <c r="A173" s="219" t="str">
        <f>IF(B173&lt;&gt;"",IF(AND(B173&gt;=_TM1,B173&lt;=_TM2,OR(TH!L173="1111",TH!M173="1111")),TH!D173,""),"")</f>
        <v/>
      </c>
      <c r="B173" s="36">
        <f t="shared" si="16"/>
        <v>3</v>
      </c>
      <c r="C173" s="37">
        <v>40970</v>
      </c>
      <c r="D173" s="195" t="s">
        <v>498</v>
      </c>
      <c r="E173" s="37">
        <v>40970</v>
      </c>
      <c r="F173" s="40" t="s">
        <v>645</v>
      </c>
      <c r="G173" s="577" t="s">
        <v>646</v>
      </c>
      <c r="H173" s="47" t="s">
        <v>647</v>
      </c>
      <c r="I173" s="277"/>
      <c r="J173" s="277"/>
      <c r="K173" s="38">
        <v>3800000</v>
      </c>
      <c r="L173" s="39" t="s">
        <v>1554</v>
      </c>
      <c r="M173" s="699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>x</v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226"/>
      <c r="AC173" s="226"/>
      <c r="AD173" s="226"/>
    </row>
    <row r="174" spans="1:30" s="689" customFormat="1" ht="15.75" customHeight="1">
      <c r="A174" s="219" t="str">
        <f>IF(B174&lt;&gt;"",IF(AND(B174&gt;=_TM1,B174&lt;=_TM2,OR(TH!L174="1111",TH!M174="1111")),TH!D174,""),"")</f>
        <v/>
      </c>
      <c r="B174" s="36">
        <f t="shared" si="16"/>
        <v>3</v>
      </c>
      <c r="C174" s="37">
        <v>40970</v>
      </c>
      <c r="D174" s="195" t="s">
        <v>498</v>
      </c>
      <c r="E174" s="37">
        <v>40970</v>
      </c>
      <c r="F174" s="40" t="s">
        <v>648</v>
      </c>
      <c r="G174" s="577" t="s">
        <v>646</v>
      </c>
      <c r="H174" s="47" t="s">
        <v>647</v>
      </c>
      <c r="I174" s="278"/>
      <c r="J174" s="277"/>
      <c r="K174" s="38">
        <v>380000</v>
      </c>
      <c r="L174" s="39" t="s">
        <v>9</v>
      </c>
      <c r="M174" s="699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>x</v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</row>
    <row r="175" spans="1:30" s="689" customFormat="1" ht="15.75" customHeight="1">
      <c r="A175" s="219" t="str">
        <f>IF(B175&lt;&gt;"",IF(AND(B175&gt;=_TM1,B175&lt;=_TM2,OR(TH!L175="1111",TH!M175="1111")),TH!D175,""),"")</f>
        <v/>
      </c>
      <c r="B175" s="36">
        <f t="shared" si="16"/>
        <v>3</v>
      </c>
      <c r="C175" s="37">
        <v>40973</v>
      </c>
      <c r="D175" s="195" t="s">
        <v>404</v>
      </c>
      <c r="E175" s="37">
        <v>40973</v>
      </c>
      <c r="F175" s="40" t="s">
        <v>406</v>
      </c>
      <c r="G175" s="577" t="s">
        <v>401</v>
      </c>
      <c r="H175" s="7" t="s">
        <v>1133</v>
      </c>
      <c r="I175" s="278"/>
      <c r="J175" s="277"/>
      <c r="K175" s="38">
        <v>13247000</v>
      </c>
      <c r="L175" s="39" t="s">
        <v>24</v>
      </c>
      <c r="M175" s="699" t="s">
        <v>311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>x</v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</row>
    <row r="176" spans="1:30" s="689" customFormat="1" ht="15.75" customHeight="1">
      <c r="A176" s="219" t="str">
        <f>IF(B176&lt;&gt;"",IF(AND(B176&gt;=_TM1,B176&lt;=_TM2,OR(TH!L176="1111",TH!M176="1111")),TH!D176,""),"")</f>
        <v/>
      </c>
      <c r="B176" s="36">
        <f t="shared" si="16"/>
        <v>3</v>
      </c>
      <c r="C176" s="37">
        <v>40975</v>
      </c>
      <c r="D176" s="195" t="s">
        <v>404</v>
      </c>
      <c r="E176" s="37">
        <v>40975</v>
      </c>
      <c r="F176" s="40" t="s">
        <v>406</v>
      </c>
      <c r="G176" s="577" t="s">
        <v>401</v>
      </c>
      <c r="H176" s="7" t="s">
        <v>1553</v>
      </c>
      <c r="I176" s="278"/>
      <c r="J176" s="277"/>
      <c r="K176" s="38">
        <v>77076011</v>
      </c>
      <c r="L176" s="39" t="s">
        <v>24</v>
      </c>
      <c r="M176" s="699" t="s">
        <v>311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>x</v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</row>
    <row r="177" spans="1:30" s="689" customFormat="1" ht="15.75" customHeight="1">
      <c r="A177" s="219" t="str">
        <f>IF(B177&lt;&gt;"",IF(AND(B177&gt;=_TM1,B177&lt;=_TM2,OR(TH!L177="1111",TH!M177="1111")),TH!D177,""),"")</f>
        <v/>
      </c>
      <c r="B177" s="36">
        <f t="shared" si="16"/>
        <v>3</v>
      </c>
      <c r="C177" s="37">
        <v>40977</v>
      </c>
      <c r="D177" s="195" t="s">
        <v>404</v>
      </c>
      <c r="E177" s="37">
        <v>40977</v>
      </c>
      <c r="F177" s="40" t="s">
        <v>406</v>
      </c>
      <c r="G177" s="577" t="s">
        <v>401</v>
      </c>
      <c r="H177" s="7" t="s">
        <v>1131</v>
      </c>
      <c r="I177" s="278"/>
      <c r="J177" s="277"/>
      <c r="K177" s="38">
        <v>10191500</v>
      </c>
      <c r="L177" s="39" t="s">
        <v>24</v>
      </c>
      <c r="M177" s="699" t="s">
        <v>311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>x</v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</row>
    <row r="178" spans="1:30" s="689" customFormat="1" ht="15.75" customHeight="1">
      <c r="A178" s="219" t="str">
        <f>IF(B178&lt;&gt;"",IF(AND(B178&gt;=_TM1,B178&lt;=_TM2,OR(TH!L178="1111",TH!M178="1111")),TH!D178,""),"")</f>
        <v/>
      </c>
      <c r="B178" s="36">
        <f t="shared" si="16"/>
        <v>3</v>
      </c>
      <c r="C178" s="195">
        <v>40980</v>
      </c>
      <c r="D178" s="195" t="s">
        <v>1110</v>
      </c>
      <c r="E178" s="195">
        <v>40980</v>
      </c>
      <c r="F178" s="203" t="s">
        <v>550</v>
      </c>
      <c r="G178" s="700" t="s">
        <v>401</v>
      </c>
      <c r="H178" s="7" t="s">
        <v>452</v>
      </c>
      <c r="I178" s="277"/>
      <c r="J178" s="277"/>
      <c r="K178" s="698">
        <v>23390000</v>
      </c>
      <c r="L178" s="699" t="s">
        <v>49</v>
      </c>
      <c r="M178" s="699" t="s">
        <v>24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>x</v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>x</v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</row>
    <row r="179" spans="1:30" s="689" customFormat="1" ht="15.75" customHeight="1">
      <c r="A179" s="219" t="str">
        <f>IF(B179&lt;&gt;"",IF(AND(B179&gt;=_TM1,B179&lt;=_TM2,OR(TH!L179="1111",TH!M179="1111")),TH!D179,""),"")</f>
        <v/>
      </c>
      <c r="B179" s="36">
        <f t="shared" si="16"/>
        <v>3</v>
      </c>
      <c r="C179" s="195">
        <v>40980</v>
      </c>
      <c r="D179" s="195" t="s">
        <v>405</v>
      </c>
      <c r="E179" s="195">
        <v>40980</v>
      </c>
      <c r="F179" s="203" t="s">
        <v>455</v>
      </c>
      <c r="G179" s="700" t="s">
        <v>401</v>
      </c>
      <c r="H179" s="7"/>
      <c r="I179" s="277"/>
      <c r="J179" s="277"/>
      <c r="K179" s="698">
        <v>50000000</v>
      </c>
      <c r="L179" s="699" t="s">
        <v>8</v>
      </c>
      <c r="M179" s="699" t="s">
        <v>24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>x</v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</row>
    <row r="180" spans="1:30" s="689" customFormat="1" ht="15.75" customHeight="1">
      <c r="A180" s="219" t="str">
        <f>IF(B180&lt;&gt;"",IF(AND(B180&gt;=_TM1,B180&lt;=_TM2,OR(TH!L180="1111",TH!M180="1111")),TH!D180,""),"")</f>
        <v/>
      </c>
      <c r="B180" s="36">
        <f t="shared" si="16"/>
        <v>3</v>
      </c>
      <c r="C180" s="195">
        <v>40980</v>
      </c>
      <c r="D180" s="195" t="s">
        <v>405</v>
      </c>
      <c r="E180" s="195">
        <v>40980</v>
      </c>
      <c r="F180" s="203" t="s">
        <v>455</v>
      </c>
      <c r="G180" s="700" t="s">
        <v>401</v>
      </c>
      <c r="H180" s="7"/>
      <c r="I180" s="277"/>
      <c r="J180" s="277"/>
      <c r="K180" s="698">
        <v>26616000</v>
      </c>
      <c r="L180" s="699" t="s">
        <v>8</v>
      </c>
      <c r="M180" s="699" t="s">
        <v>24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>x</v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</row>
    <row r="181" spans="1:30" s="689" customFormat="1" ht="15.75" customHeight="1">
      <c r="A181" s="219" t="str">
        <f>IF(B181&lt;&gt;"",IF(AND(B181&gt;=_TM1,B181&lt;=_TM2,OR(TH!L181="1111",TH!M181="1111")),TH!D181,""),"")</f>
        <v/>
      </c>
      <c r="B181" s="36">
        <f t="shared" si="16"/>
        <v>3</v>
      </c>
      <c r="C181" s="37">
        <v>40980</v>
      </c>
      <c r="D181" s="195" t="s">
        <v>405</v>
      </c>
      <c r="E181" s="37">
        <v>40980</v>
      </c>
      <c r="F181" s="40" t="s">
        <v>407</v>
      </c>
      <c r="G181" s="580" t="s">
        <v>401</v>
      </c>
      <c r="H181" s="7"/>
      <c r="I181" s="277"/>
      <c r="J181" s="277"/>
      <c r="K181" s="698">
        <v>10000</v>
      </c>
      <c r="L181" s="39" t="s">
        <v>87</v>
      </c>
      <c r="M181" s="39" t="s">
        <v>24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>x</v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B181" s="226"/>
      <c r="AC181" s="226"/>
    </row>
    <row r="182" spans="1:30" s="226" customFormat="1" ht="15.75" customHeight="1">
      <c r="A182" s="219" t="str">
        <f>IF(B182&lt;&gt;"",IF(AND(B182&gt;=_TM1,B182&lt;=_TM2,OR(TH!L182="1111",TH!M182="1111")),TH!D182,""),"")</f>
        <v/>
      </c>
      <c r="B182" s="36">
        <f t="shared" si="16"/>
        <v>3</v>
      </c>
      <c r="C182" s="37">
        <v>40980</v>
      </c>
      <c r="D182" s="195" t="s">
        <v>405</v>
      </c>
      <c r="E182" s="37">
        <v>40980</v>
      </c>
      <c r="F182" s="40" t="s">
        <v>407</v>
      </c>
      <c r="G182" s="580" t="s">
        <v>401</v>
      </c>
      <c r="H182" s="7"/>
      <c r="I182" s="277"/>
      <c r="J182" s="277"/>
      <c r="K182" s="38">
        <v>10000</v>
      </c>
      <c r="L182" s="39" t="s">
        <v>87</v>
      </c>
      <c r="M182" s="39" t="s">
        <v>24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>x</v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B182" s="689"/>
      <c r="AC182" s="689"/>
      <c r="AD182" s="689"/>
    </row>
    <row r="183" spans="1:30" s="226" customFormat="1" ht="15.75" customHeight="1">
      <c r="A183" s="219" t="str">
        <f>IF(B183&lt;&gt;"",IF(AND(B183&gt;=_TM1,B183&lt;=_TM2,OR(TH!L183="1111",TH!M183="1111")),TH!D183,""),"")</f>
        <v/>
      </c>
      <c r="B183" s="36">
        <f t="shared" si="16"/>
        <v>3</v>
      </c>
      <c r="C183" s="37">
        <v>40981</v>
      </c>
      <c r="D183" s="195" t="s">
        <v>499</v>
      </c>
      <c r="E183" s="37">
        <v>40981</v>
      </c>
      <c r="F183" s="40" t="s">
        <v>649</v>
      </c>
      <c r="G183" s="580" t="s">
        <v>650</v>
      </c>
      <c r="H183" s="45" t="s">
        <v>651</v>
      </c>
      <c r="I183" s="277"/>
      <c r="J183" s="277"/>
      <c r="K183" s="38">
        <v>3600000</v>
      </c>
      <c r="L183" s="39" t="s">
        <v>194</v>
      </c>
      <c r="M183" s="39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B183" s="689"/>
      <c r="AC183" s="689"/>
      <c r="AD183" s="689"/>
    </row>
    <row r="184" spans="1:30" s="226" customFormat="1" ht="15.75" customHeight="1">
      <c r="A184" s="219" t="str">
        <f>IF(B184&lt;&gt;"",IF(AND(B184&gt;=_TM1,B184&lt;=_TM2,OR(TH!L184="1111",TH!M184="1111")),TH!D184,""),"")</f>
        <v/>
      </c>
      <c r="B184" s="36">
        <f t="shared" ref="B184:B247" si="17">IF(C184&lt;&gt;"",MONTH(C184),"")</f>
        <v>3</v>
      </c>
      <c r="C184" s="195">
        <v>40981</v>
      </c>
      <c r="D184" s="195" t="s">
        <v>499</v>
      </c>
      <c r="E184" s="195">
        <v>40981</v>
      </c>
      <c r="F184" s="203" t="s">
        <v>413</v>
      </c>
      <c r="G184" s="700" t="s">
        <v>650</v>
      </c>
      <c r="H184" s="45" t="s">
        <v>651</v>
      </c>
      <c r="I184" s="277"/>
      <c r="J184" s="277"/>
      <c r="K184" s="698">
        <v>360000</v>
      </c>
      <c r="L184" s="699" t="s">
        <v>9</v>
      </c>
      <c r="M184" s="699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B184" s="689"/>
      <c r="AC184" s="689"/>
      <c r="AD184" s="689"/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17"/>
        <v>3</v>
      </c>
      <c r="C185" s="195">
        <v>40981</v>
      </c>
      <c r="D185" s="195" t="s">
        <v>521</v>
      </c>
      <c r="E185" s="195">
        <v>40981</v>
      </c>
      <c r="F185" s="203" t="s">
        <v>652</v>
      </c>
      <c r="G185" s="700" t="s">
        <v>653</v>
      </c>
      <c r="H185" s="45" t="s">
        <v>630</v>
      </c>
      <c r="I185" s="277">
        <v>140</v>
      </c>
      <c r="J185" s="277">
        <v>16128</v>
      </c>
      <c r="K185" s="698">
        <v>2257920</v>
      </c>
      <c r="L185" s="699" t="s">
        <v>186</v>
      </c>
      <c r="M185" s="699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689"/>
      <c r="AC185" s="226" t="str">
        <f>IF(ISNA(VLOOKUP(F185,NXT!$C$18:$C$347,1,0)),x,"")</f>
        <v/>
      </c>
      <c r="AD185" s="689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17"/>
        <v>3</v>
      </c>
      <c r="C186" s="195">
        <v>40981</v>
      </c>
      <c r="D186" s="195" t="s">
        <v>521</v>
      </c>
      <c r="E186" s="195">
        <v>40981</v>
      </c>
      <c r="F186" s="203" t="s">
        <v>654</v>
      </c>
      <c r="G186" s="700" t="s">
        <v>653</v>
      </c>
      <c r="H186" s="7" t="s">
        <v>630</v>
      </c>
      <c r="I186" s="277">
        <v>244</v>
      </c>
      <c r="J186" s="277">
        <v>30836</v>
      </c>
      <c r="K186" s="698">
        <v>7523984</v>
      </c>
      <c r="L186" s="699" t="s">
        <v>186</v>
      </c>
      <c r="M186" s="699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B186" s="689"/>
      <c r="AC186" s="226" t="str">
        <f>IF(ISNA(VLOOKUP(F186,NXT!$C$18:$C$347,1,0)),x,"")</f>
        <v/>
      </c>
      <c r="AD186" s="689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17"/>
        <v>3</v>
      </c>
      <c r="C187" s="195">
        <v>40981</v>
      </c>
      <c r="D187" s="195" t="s">
        <v>521</v>
      </c>
      <c r="E187" s="195">
        <v>40981</v>
      </c>
      <c r="F187" s="203" t="s">
        <v>655</v>
      </c>
      <c r="G187" s="700" t="s">
        <v>653</v>
      </c>
      <c r="H187" s="7" t="s">
        <v>630</v>
      </c>
      <c r="I187" s="277">
        <v>274</v>
      </c>
      <c r="J187" s="277">
        <v>26146</v>
      </c>
      <c r="K187" s="698">
        <v>7164004</v>
      </c>
      <c r="L187" s="699" t="s">
        <v>186</v>
      </c>
      <c r="M187" s="699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689"/>
      <c r="AC187" s="226" t="str">
        <f>IF(ISNA(VLOOKUP(F187,NXT!$C$18:$C$347,1,0)),x,"")</f>
        <v/>
      </c>
      <c r="AD187" s="689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17"/>
        <v>3</v>
      </c>
      <c r="C188" s="37">
        <v>40981</v>
      </c>
      <c r="D188" s="195" t="s">
        <v>521</v>
      </c>
      <c r="E188" s="37">
        <v>40981</v>
      </c>
      <c r="F188" s="203" t="s">
        <v>644</v>
      </c>
      <c r="G188" s="580" t="s">
        <v>653</v>
      </c>
      <c r="H188" s="7" t="s">
        <v>630</v>
      </c>
      <c r="I188" s="278"/>
      <c r="J188" s="278"/>
      <c r="K188" s="698">
        <v>1694590</v>
      </c>
      <c r="L188" s="39" t="s">
        <v>9</v>
      </c>
      <c r="M188" s="699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B188" s="689"/>
      <c r="AC188" s="689"/>
      <c r="AD188" s="689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17"/>
        <v>3</v>
      </c>
      <c r="C189" s="37">
        <v>40984</v>
      </c>
      <c r="D189" s="195" t="s">
        <v>404</v>
      </c>
      <c r="E189" s="37">
        <v>40984</v>
      </c>
      <c r="F189" s="203" t="s">
        <v>406</v>
      </c>
      <c r="G189" s="580" t="s">
        <v>401</v>
      </c>
      <c r="H189" s="7" t="s">
        <v>416</v>
      </c>
      <c r="I189" s="278"/>
      <c r="J189" s="278"/>
      <c r="K189" s="698">
        <v>23725405</v>
      </c>
      <c r="L189" s="39" t="s">
        <v>24</v>
      </c>
      <c r="M189" s="39" t="s">
        <v>311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>x</v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689"/>
      <c r="AC189" s="689"/>
      <c r="AD189" s="689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17"/>
        <v>3</v>
      </c>
      <c r="C190" s="37">
        <v>40987</v>
      </c>
      <c r="D190" s="195" t="s">
        <v>404</v>
      </c>
      <c r="E190" s="37">
        <v>40987</v>
      </c>
      <c r="F190" s="203" t="s">
        <v>406</v>
      </c>
      <c r="G190" s="580" t="s">
        <v>401</v>
      </c>
      <c r="H190" s="7" t="s">
        <v>1135</v>
      </c>
      <c r="I190" s="278"/>
      <c r="J190" s="278"/>
      <c r="K190" s="698">
        <v>6325000</v>
      </c>
      <c r="L190" s="39" t="s">
        <v>24</v>
      </c>
      <c r="M190" s="39" t="s">
        <v>311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>x</v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689"/>
      <c r="AC190" s="689"/>
      <c r="AD190" s="689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17"/>
        <v>3</v>
      </c>
      <c r="C191" s="37">
        <v>40988</v>
      </c>
      <c r="D191" s="195" t="s">
        <v>522</v>
      </c>
      <c r="E191" s="37">
        <v>40988</v>
      </c>
      <c r="F191" s="203" t="s">
        <v>656</v>
      </c>
      <c r="G191" s="580" t="s">
        <v>657</v>
      </c>
      <c r="H191" s="7" t="s">
        <v>630</v>
      </c>
      <c r="I191" s="278">
        <v>33</v>
      </c>
      <c r="J191" s="278">
        <v>19316</v>
      </c>
      <c r="K191" s="698">
        <v>637428</v>
      </c>
      <c r="L191" s="39" t="s">
        <v>186</v>
      </c>
      <c r="M191" s="699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689"/>
      <c r="AC191" s="226" t="str">
        <f>IF(ISNA(VLOOKUP(F191,NXT!$C$18:$C$347,1,0)),x,"")</f>
        <v/>
      </c>
      <c r="AD191" s="689"/>
    </row>
    <row r="192" spans="1:30" s="226" customFormat="1" ht="15.75" customHeight="1">
      <c r="A192" s="219" t="str">
        <f>IF(B192&lt;&gt;"",IF(AND(B192&gt;=_TM1,B192&lt;=_TM2,OR(TH!L192="1111",TH!M192="1111")),TH!D192,""),"")</f>
        <v/>
      </c>
      <c r="B192" s="36">
        <f t="shared" si="17"/>
        <v>3</v>
      </c>
      <c r="C192" s="37">
        <v>40988</v>
      </c>
      <c r="D192" s="195" t="s">
        <v>522</v>
      </c>
      <c r="E192" s="37">
        <v>40988</v>
      </c>
      <c r="F192" s="203" t="s">
        <v>658</v>
      </c>
      <c r="G192" s="580" t="s">
        <v>657</v>
      </c>
      <c r="H192" s="7" t="s">
        <v>630</v>
      </c>
      <c r="I192" s="278">
        <v>503</v>
      </c>
      <c r="J192" s="278">
        <v>20511</v>
      </c>
      <c r="K192" s="698">
        <v>10317033</v>
      </c>
      <c r="L192" s="39" t="s">
        <v>186</v>
      </c>
      <c r="M192" s="699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B192" s="689"/>
      <c r="AC192" s="226" t="str">
        <f>IF(ISNA(VLOOKUP(F192,NXT!$C$18:$C$347,1,0)),x,"")</f>
        <v/>
      </c>
      <c r="AD192" s="689"/>
    </row>
    <row r="193" spans="1:30" s="226" customFormat="1" ht="15.75" customHeight="1">
      <c r="A193" s="219" t="str">
        <f>IF(B193&lt;&gt;"",IF(AND(B193&gt;=_TM1,B193&lt;=_TM2,OR(TH!L193="1111",TH!M193="1111")),TH!D193,""),"")</f>
        <v/>
      </c>
      <c r="B193" s="36">
        <f t="shared" si="17"/>
        <v>3</v>
      </c>
      <c r="C193" s="37">
        <v>40988</v>
      </c>
      <c r="D193" s="195" t="s">
        <v>522</v>
      </c>
      <c r="E193" s="37">
        <v>40988</v>
      </c>
      <c r="F193" s="203" t="s">
        <v>659</v>
      </c>
      <c r="G193" s="580" t="s">
        <v>657</v>
      </c>
      <c r="H193" s="7" t="s">
        <v>630</v>
      </c>
      <c r="I193" s="278">
        <v>240</v>
      </c>
      <c r="J193" s="278">
        <v>15665</v>
      </c>
      <c r="K193" s="38">
        <v>3759600</v>
      </c>
      <c r="L193" s="39" t="s">
        <v>186</v>
      </c>
      <c r="M193" s="699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B193" s="689"/>
      <c r="AC193" s="226" t="str">
        <f>IF(ISNA(VLOOKUP(F193,NXT!$C$18:$C$347,1,0)),x,"")</f>
        <v/>
      </c>
      <c r="AD193" s="689"/>
    </row>
    <row r="194" spans="1:30" s="226" customFormat="1" ht="15.75" customHeight="1">
      <c r="A194" s="219" t="str">
        <f>IF(B194&lt;&gt;"",IF(AND(B194&gt;=_TM1,B194&lt;=_TM2,OR(TH!L194="1111",TH!M194="1111")),TH!D194,""),"")</f>
        <v/>
      </c>
      <c r="B194" s="36">
        <f t="shared" si="17"/>
        <v>3</v>
      </c>
      <c r="C194" s="37">
        <v>40988</v>
      </c>
      <c r="D194" s="195" t="s">
        <v>522</v>
      </c>
      <c r="E194" s="37">
        <v>40988</v>
      </c>
      <c r="F194" s="40" t="s">
        <v>660</v>
      </c>
      <c r="G194" s="580" t="s">
        <v>657</v>
      </c>
      <c r="H194" s="7" t="s">
        <v>630</v>
      </c>
      <c r="I194" s="278">
        <v>20</v>
      </c>
      <c r="J194" s="278">
        <v>16346</v>
      </c>
      <c r="K194" s="698">
        <v>326920</v>
      </c>
      <c r="L194" s="39" t="s">
        <v>186</v>
      </c>
      <c r="M194" s="699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689"/>
      <c r="AC194" s="226" t="str">
        <f>IF(ISNA(VLOOKUP(F194,NXT!$C$18:$C$347,1,0)),x,"")</f>
        <v/>
      </c>
      <c r="AD194" s="689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17"/>
        <v>3</v>
      </c>
      <c r="C195" s="37">
        <v>40988</v>
      </c>
      <c r="D195" s="195" t="s">
        <v>522</v>
      </c>
      <c r="E195" s="37">
        <v>40988</v>
      </c>
      <c r="F195" s="40" t="s">
        <v>661</v>
      </c>
      <c r="G195" s="580" t="s">
        <v>657</v>
      </c>
      <c r="H195" s="7" t="s">
        <v>630</v>
      </c>
      <c r="I195" s="277">
        <v>150</v>
      </c>
      <c r="J195" s="277">
        <v>11554</v>
      </c>
      <c r="K195" s="38">
        <v>1733100</v>
      </c>
      <c r="L195" s="39" t="s">
        <v>186</v>
      </c>
      <c r="M195" s="699" t="s">
        <v>8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C195" s="226" t="str">
        <f>IF(ISNA(VLOOKUP(F195,NXT!$C$18:$C$347,1,0)),x,"")</f>
        <v/>
      </c>
      <c r="AD195" s="689"/>
    </row>
    <row r="196" spans="1:30" s="689" customFormat="1" ht="15.75" customHeight="1">
      <c r="A196" s="219" t="str">
        <f>IF(B196&lt;&gt;"",IF(AND(B196&gt;=_TM1,B196&lt;=_TM2,OR(TH!L196="1111",TH!M196="1111")),TH!D196,""),"")</f>
        <v/>
      </c>
      <c r="B196" s="36">
        <f t="shared" si="17"/>
        <v>3</v>
      </c>
      <c r="C196" s="37">
        <v>40988</v>
      </c>
      <c r="D196" s="195" t="s">
        <v>522</v>
      </c>
      <c r="E196" s="37">
        <v>40988</v>
      </c>
      <c r="F196" s="203" t="s">
        <v>662</v>
      </c>
      <c r="G196" s="580" t="s">
        <v>657</v>
      </c>
      <c r="H196" s="7" t="s">
        <v>630</v>
      </c>
      <c r="I196" s="277">
        <v>30</v>
      </c>
      <c r="J196" s="277">
        <v>14151</v>
      </c>
      <c r="K196" s="698">
        <v>424530</v>
      </c>
      <c r="L196" s="39" t="s">
        <v>186</v>
      </c>
      <c r="M196" s="699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689" customFormat="1" ht="15.75" customHeight="1">
      <c r="A197" s="219" t="str">
        <f>IF(B197&lt;&gt;"",IF(AND(B197&gt;=_TM1,B197&lt;=_TM2,OR(TH!L197="1111",TH!M197="1111")),TH!D197,""),"")</f>
        <v/>
      </c>
      <c r="B197" s="36">
        <f t="shared" si="17"/>
        <v>3</v>
      </c>
      <c r="C197" s="37">
        <v>40988</v>
      </c>
      <c r="D197" s="195" t="s">
        <v>522</v>
      </c>
      <c r="E197" s="37">
        <v>40988</v>
      </c>
      <c r="F197" s="203" t="s">
        <v>663</v>
      </c>
      <c r="G197" s="580" t="s">
        <v>657</v>
      </c>
      <c r="H197" s="7" t="s">
        <v>630</v>
      </c>
      <c r="I197" s="277">
        <v>248</v>
      </c>
      <c r="J197" s="277">
        <v>22315</v>
      </c>
      <c r="K197" s="698">
        <v>5534120</v>
      </c>
      <c r="L197" s="39" t="s">
        <v>186</v>
      </c>
      <c r="M197" s="699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C197" s="226" t="str">
        <f>IF(ISNA(VLOOKUP(F197,NXT!$C$18:$C$347,1,0)),x,"")</f>
        <v/>
      </c>
    </row>
    <row r="198" spans="1:30" s="689" customFormat="1" ht="15.75" customHeight="1">
      <c r="A198" s="219" t="str">
        <f>IF(B198&lt;&gt;"",IF(AND(B198&gt;=_TM1,B198&lt;=_TM2,OR(TH!L198="1111",TH!M198="1111")),TH!D198,""),"")</f>
        <v/>
      </c>
      <c r="B198" s="36">
        <f t="shared" si="17"/>
        <v>3</v>
      </c>
      <c r="C198" s="37">
        <v>40988</v>
      </c>
      <c r="D198" s="195" t="s">
        <v>523</v>
      </c>
      <c r="E198" s="37">
        <v>40988</v>
      </c>
      <c r="F198" s="203" t="s">
        <v>664</v>
      </c>
      <c r="G198" s="580" t="s">
        <v>657</v>
      </c>
      <c r="H198" s="7" t="s">
        <v>630</v>
      </c>
      <c r="I198" s="277">
        <v>350</v>
      </c>
      <c r="J198" s="277">
        <v>16660</v>
      </c>
      <c r="K198" s="698">
        <v>5831000</v>
      </c>
      <c r="L198" s="39" t="s">
        <v>186</v>
      </c>
      <c r="M198" s="699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689" customFormat="1" ht="15.75" customHeight="1">
      <c r="A199" s="219" t="str">
        <f>IF(B199&lt;&gt;"",IF(AND(B199&gt;=_TM1,B199&lt;=_TM2,OR(TH!L199="1111",TH!M199="1111")),TH!D199,""),"")</f>
        <v/>
      </c>
      <c r="B199" s="36">
        <f t="shared" si="17"/>
        <v>3</v>
      </c>
      <c r="C199" s="37">
        <v>40988</v>
      </c>
      <c r="D199" s="195" t="s">
        <v>523</v>
      </c>
      <c r="E199" s="37">
        <v>40988</v>
      </c>
      <c r="F199" s="203" t="s">
        <v>665</v>
      </c>
      <c r="G199" s="580" t="s">
        <v>657</v>
      </c>
      <c r="H199" s="7" t="s">
        <v>630</v>
      </c>
      <c r="I199" s="277">
        <v>100</v>
      </c>
      <c r="J199" s="277">
        <v>29155</v>
      </c>
      <c r="K199" s="698">
        <v>2915500</v>
      </c>
      <c r="L199" s="39" t="s">
        <v>186</v>
      </c>
      <c r="M199" s="699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226"/>
      <c r="AC199" s="226" t="str">
        <f>IF(ISNA(VLOOKUP(F199,NXT!$C$18:$C$347,1,0)),x,"")</f>
        <v/>
      </c>
    </row>
    <row r="200" spans="1:30" s="689" customFormat="1" ht="15.75" customHeight="1">
      <c r="A200" s="219" t="str">
        <f>IF(B200&lt;&gt;"",IF(AND(B200&gt;=_TM1,B200&lt;=_TM2,OR(TH!L200="1111",TH!M200="1111")),TH!D200,""),"")</f>
        <v/>
      </c>
      <c r="B200" s="36">
        <f t="shared" si="17"/>
        <v>3</v>
      </c>
      <c r="C200" s="37">
        <v>40988</v>
      </c>
      <c r="D200" s="195" t="s">
        <v>523</v>
      </c>
      <c r="E200" s="37">
        <v>40988</v>
      </c>
      <c r="F200" s="203" t="s">
        <v>666</v>
      </c>
      <c r="G200" s="580" t="s">
        <v>657</v>
      </c>
      <c r="H200" s="7" t="s">
        <v>630</v>
      </c>
      <c r="I200" s="277">
        <v>100</v>
      </c>
      <c r="J200" s="277">
        <v>14166</v>
      </c>
      <c r="K200" s="698">
        <v>1416600</v>
      </c>
      <c r="L200" s="39" t="s">
        <v>186</v>
      </c>
      <c r="M200" s="699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C200" s="226" t="str">
        <f>IF(ISNA(VLOOKUP(F200,NXT!$C$18:$C$347,1,0)),x,"")</f>
        <v/>
      </c>
    </row>
    <row r="201" spans="1:30" s="689" customFormat="1" ht="15.75" customHeight="1">
      <c r="A201" s="219" t="str">
        <f>IF(B201&lt;&gt;"",IF(AND(B201&gt;=_TM1,B201&lt;=_TM2,OR(TH!L201="1111",TH!M201="1111")),TH!D201,""),"")</f>
        <v/>
      </c>
      <c r="B201" s="36">
        <f t="shared" si="17"/>
        <v>3</v>
      </c>
      <c r="C201" s="37">
        <v>40988</v>
      </c>
      <c r="D201" s="195" t="s">
        <v>523</v>
      </c>
      <c r="E201" s="37">
        <v>40988</v>
      </c>
      <c r="F201" s="203" t="s">
        <v>667</v>
      </c>
      <c r="G201" s="580" t="s">
        <v>657</v>
      </c>
      <c r="H201" s="7" t="s">
        <v>630</v>
      </c>
      <c r="I201" s="277">
        <v>80</v>
      </c>
      <c r="J201" s="277">
        <v>23748</v>
      </c>
      <c r="K201" s="698">
        <v>1899840</v>
      </c>
      <c r="L201" s="39" t="s">
        <v>186</v>
      </c>
      <c r="M201" s="699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  <c r="AB201" s="226"/>
      <c r="AC201" s="226" t="str">
        <f>IF(ISNA(VLOOKUP(F201,NXT!$C$18:$C$347,1,0)),x,"")</f>
        <v/>
      </c>
    </row>
    <row r="202" spans="1:30" s="226" customFormat="1" ht="15.75" customHeight="1">
      <c r="A202" s="219" t="str">
        <f>IF(B202&lt;&gt;"",IF(AND(B202&gt;=_TM1,B202&lt;=_TM2,OR(TH!L202="1111",TH!M202="1111")),TH!D202,""),"")</f>
        <v/>
      </c>
      <c r="B202" s="36">
        <f t="shared" si="17"/>
        <v>3</v>
      </c>
      <c r="C202" s="37">
        <v>40988</v>
      </c>
      <c r="D202" s="195" t="s">
        <v>523</v>
      </c>
      <c r="E202" s="37">
        <v>40988</v>
      </c>
      <c r="F202" s="203" t="s">
        <v>668</v>
      </c>
      <c r="G202" s="580" t="s">
        <v>657</v>
      </c>
      <c r="H202" s="7" t="s">
        <v>630</v>
      </c>
      <c r="I202" s="277">
        <v>300</v>
      </c>
      <c r="J202" s="277">
        <v>17763</v>
      </c>
      <c r="K202" s="698">
        <v>5328900</v>
      </c>
      <c r="L202" s="39" t="s">
        <v>186</v>
      </c>
      <c r="M202" s="699" t="s">
        <v>8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B202" s="689"/>
      <c r="AC202" s="226" t="str">
        <f>IF(ISNA(VLOOKUP(F202,NXT!$C$18:$C$347,1,0)),x,"")</f>
        <v/>
      </c>
      <c r="AD202" s="689"/>
    </row>
    <row r="203" spans="1:30" s="226" customFormat="1" ht="15.75" customHeight="1">
      <c r="A203" s="219" t="str">
        <f>IF(B203&lt;&gt;"",IF(AND(B203&gt;=_TM1,B203&lt;=_TM2,OR(TH!L203="1111",TH!M203="1111")),TH!D203,""),"")</f>
        <v/>
      </c>
      <c r="B203" s="36">
        <f t="shared" si="17"/>
        <v>3</v>
      </c>
      <c r="C203" s="37">
        <v>40988</v>
      </c>
      <c r="D203" s="195" t="s">
        <v>523</v>
      </c>
      <c r="E203" s="37">
        <v>40988</v>
      </c>
      <c r="F203" s="203" t="s">
        <v>669</v>
      </c>
      <c r="G203" s="580" t="s">
        <v>657</v>
      </c>
      <c r="H203" s="7" t="s">
        <v>630</v>
      </c>
      <c r="I203" s="277">
        <v>50</v>
      </c>
      <c r="J203" s="277">
        <v>17443</v>
      </c>
      <c r="K203" s="38">
        <v>872150</v>
      </c>
      <c r="L203" s="39" t="s">
        <v>186</v>
      </c>
      <c r="M203" s="699" t="s">
        <v>8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B203" s="689"/>
      <c r="AC203" s="226" t="str">
        <f>IF(ISNA(VLOOKUP(F203,NXT!$C$18:$C$347,1,0)),x,"")</f>
        <v/>
      </c>
      <c r="AD203" s="689"/>
    </row>
    <row r="204" spans="1:30" s="226" customFormat="1" ht="15.75" customHeight="1">
      <c r="A204" s="219" t="str">
        <f>IF(B204&lt;&gt;"",IF(AND(B204&gt;=_TM1,B204&lt;=_TM2,OR(TH!L204="1111",TH!M204="1111")),TH!D204,""),"")</f>
        <v/>
      </c>
      <c r="B204" s="36">
        <f t="shared" si="17"/>
        <v>3</v>
      </c>
      <c r="C204" s="195">
        <v>40988</v>
      </c>
      <c r="D204" s="195" t="s">
        <v>523</v>
      </c>
      <c r="E204" s="195">
        <v>40988</v>
      </c>
      <c r="F204" s="203" t="s">
        <v>670</v>
      </c>
      <c r="G204" s="700" t="s">
        <v>657</v>
      </c>
      <c r="H204" s="45" t="s">
        <v>630</v>
      </c>
      <c r="I204" s="277">
        <v>50</v>
      </c>
      <c r="J204" s="277">
        <v>21130</v>
      </c>
      <c r="K204" s="698">
        <v>1056500</v>
      </c>
      <c r="L204" s="699" t="s">
        <v>186</v>
      </c>
      <c r="M204" s="699" t="s">
        <v>8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B204" s="689"/>
      <c r="AC204" s="226" t="str">
        <f>IF(ISNA(VLOOKUP(F204,NXT!$C$18:$C$347,1,0)),x,"")</f>
        <v/>
      </c>
      <c r="AD204" s="689"/>
    </row>
    <row r="205" spans="1:30" s="226" customFormat="1" ht="15.75" customHeight="1">
      <c r="A205" s="219" t="str">
        <f>IF(B205&lt;&gt;"",IF(AND(B205&gt;=_TM1,B205&lt;=_TM2,OR(TH!L205="1111",TH!M205="1111")),TH!D205,""),"")</f>
        <v/>
      </c>
      <c r="B205" s="36">
        <f t="shared" si="17"/>
        <v>3</v>
      </c>
      <c r="C205" s="37">
        <v>40988</v>
      </c>
      <c r="D205" s="195" t="s">
        <v>523</v>
      </c>
      <c r="E205" s="37">
        <v>40988</v>
      </c>
      <c r="F205" s="40" t="s">
        <v>671</v>
      </c>
      <c r="G205" s="580" t="s">
        <v>657</v>
      </c>
      <c r="H205" s="45" t="s">
        <v>630</v>
      </c>
      <c r="I205" s="277">
        <v>169</v>
      </c>
      <c r="J205" s="277">
        <v>19080</v>
      </c>
      <c r="K205" s="698">
        <v>3224520</v>
      </c>
      <c r="L205" s="39" t="s">
        <v>186</v>
      </c>
      <c r="M205" s="699" t="s">
        <v>8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689"/>
      <c r="AC205" s="226" t="str">
        <f>IF(ISNA(VLOOKUP(F205,NXT!$C$18:$C$347,1,0)),x,"")</f>
        <v/>
      </c>
      <c r="AD205" s="689"/>
    </row>
    <row r="206" spans="1:30" s="226" customFormat="1" ht="15.75" customHeight="1">
      <c r="A206" s="219" t="str">
        <f>IF(B206&lt;&gt;"",IF(AND(B206&gt;=_TM1,B206&lt;=_TM2,OR(TH!L206="1111",TH!M206="1111")),TH!D206,""),"")</f>
        <v/>
      </c>
      <c r="B206" s="36">
        <f t="shared" si="17"/>
        <v>3</v>
      </c>
      <c r="C206" s="37">
        <v>40988</v>
      </c>
      <c r="D206" s="195" t="s">
        <v>524</v>
      </c>
      <c r="E206" s="37">
        <v>40988</v>
      </c>
      <c r="F206" s="40" t="s">
        <v>672</v>
      </c>
      <c r="G206" s="580" t="s">
        <v>657</v>
      </c>
      <c r="H206" s="45" t="s">
        <v>630</v>
      </c>
      <c r="I206" s="277">
        <v>195</v>
      </c>
      <c r="J206" s="277">
        <v>20842</v>
      </c>
      <c r="K206" s="698">
        <v>4064190</v>
      </c>
      <c r="L206" s="39" t="s">
        <v>186</v>
      </c>
      <c r="M206" s="699" t="s">
        <v>8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/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  <c r="AB206" s="689"/>
      <c r="AC206" s="226" t="str">
        <f>IF(ISNA(VLOOKUP(F206,NXT!$C$18:$C$347,1,0)),x,"")</f>
        <v/>
      </c>
      <c r="AD206" s="689"/>
    </row>
    <row r="207" spans="1:30" s="226" customFormat="1" ht="15.75" customHeight="1">
      <c r="A207" s="219" t="str">
        <f>IF(B207&lt;&gt;"",IF(AND(B207&gt;=_TM1,B207&lt;=_TM2,OR(TH!L207="1111",TH!M207="1111")),TH!D207,""),"")</f>
        <v/>
      </c>
      <c r="B207" s="36">
        <f t="shared" si="17"/>
        <v>3</v>
      </c>
      <c r="C207" s="37">
        <v>40988</v>
      </c>
      <c r="D207" s="195" t="s">
        <v>524</v>
      </c>
      <c r="E207" s="37">
        <v>40988</v>
      </c>
      <c r="F207" s="40" t="s">
        <v>673</v>
      </c>
      <c r="G207" s="580" t="s">
        <v>657</v>
      </c>
      <c r="H207" s="45" t="s">
        <v>630</v>
      </c>
      <c r="I207" s="277">
        <v>105</v>
      </c>
      <c r="J207" s="277">
        <v>17530</v>
      </c>
      <c r="K207" s="38">
        <v>1840650</v>
      </c>
      <c r="L207" s="39" t="s">
        <v>186</v>
      </c>
      <c r="M207" s="699" t="s">
        <v>8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B207" s="689"/>
      <c r="AC207" s="226" t="str">
        <f>IF(ISNA(VLOOKUP(F207,NXT!$C$18:$C$347,1,0)),x,"")</f>
        <v/>
      </c>
      <c r="AD207" s="689"/>
    </row>
    <row r="208" spans="1:30" s="226" customFormat="1" ht="15.75" customHeight="1">
      <c r="A208" s="219" t="str">
        <f>IF(B208&lt;&gt;"",IF(AND(B208&gt;=_TM1,B208&lt;=_TM2,OR(TH!L208="1111",TH!M208="1111")),TH!D208,""),"")</f>
        <v/>
      </c>
      <c r="B208" s="36">
        <f t="shared" si="17"/>
        <v>3</v>
      </c>
      <c r="C208" s="37">
        <v>40988</v>
      </c>
      <c r="D208" s="195" t="s">
        <v>524</v>
      </c>
      <c r="E208" s="37">
        <v>40988</v>
      </c>
      <c r="F208" s="40" t="s">
        <v>674</v>
      </c>
      <c r="G208" s="580" t="s">
        <v>657</v>
      </c>
      <c r="H208" s="45" t="s">
        <v>630</v>
      </c>
      <c r="I208" s="277">
        <v>98</v>
      </c>
      <c r="J208" s="277">
        <v>19086</v>
      </c>
      <c r="K208" s="698">
        <v>1870428</v>
      </c>
      <c r="L208" s="39" t="s">
        <v>186</v>
      </c>
      <c r="M208" s="699" t="s">
        <v>8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C208" s="226" t="str">
        <f>IF(ISNA(VLOOKUP(F208,NXT!$C$18:$C$347,1,0)),x,"")</f>
        <v/>
      </c>
      <c r="AD208" s="689"/>
    </row>
    <row r="209" spans="1:30" s="226" customFormat="1" ht="15.75" customHeight="1">
      <c r="A209" s="219" t="str">
        <f>IF(B209&lt;&gt;"",IF(AND(B209&gt;=_TM1,B209&lt;=_TM2,OR(TH!L209="1111",TH!M209="1111")),TH!D209,""),"")</f>
        <v/>
      </c>
      <c r="B209" s="36">
        <f t="shared" si="17"/>
        <v>3</v>
      </c>
      <c r="C209" s="37">
        <v>40988</v>
      </c>
      <c r="D209" s="195" t="s">
        <v>524</v>
      </c>
      <c r="E209" s="37">
        <v>40988</v>
      </c>
      <c r="F209" s="40" t="s">
        <v>675</v>
      </c>
      <c r="G209" s="580" t="s">
        <v>657</v>
      </c>
      <c r="H209" s="45" t="s">
        <v>630</v>
      </c>
      <c r="I209" s="277">
        <v>1500</v>
      </c>
      <c r="J209" s="277">
        <v>571</v>
      </c>
      <c r="K209" s="38">
        <v>856500</v>
      </c>
      <c r="L209" s="39" t="s">
        <v>186</v>
      </c>
      <c r="M209" s="699" t="s">
        <v>8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B209" s="689"/>
      <c r="AC209" s="226" t="str">
        <f>IF(ISNA(VLOOKUP(F209,NXT!$C$18:$C$347,1,0)),x,"")</f>
        <v/>
      </c>
      <c r="AD209" s="689"/>
    </row>
    <row r="210" spans="1:30" s="226" customFormat="1" ht="15.75" customHeight="1">
      <c r="A210" s="219" t="str">
        <f>IF(B210&lt;&gt;"",IF(AND(B210&gt;=_TM1,B210&lt;=_TM2,OR(TH!L210="1111",TH!M210="1111")),TH!D210,""),"")</f>
        <v/>
      </c>
      <c r="B210" s="36">
        <f t="shared" si="17"/>
        <v>3</v>
      </c>
      <c r="C210" s="37">
        <v>40988</v>
      </c>
      <c r="D210" s="195" t="s">
        <v>524</v>
      </c>
      <c r="E210" s="37">
        <v>40988</v>
      </c>
      <c r="F210" s="203" t="s">
        <v>676</v>
      </c>
      <c r="G210" s="580" t="s">
        <v>657</v>
      </c>
      <c r="H210" s="7" t="s">
        <v>630</v>
      </c>
      <c r="I210" s="277">
        <v>55</v>
      </c>
      <c r="J210" s="277">
        <v>10819</v>
      </c>
      <c r="K210" s="698">
        <v>595045</v>
      </c>
      <c r="L210" s="39" t="s">
        <v>186</v>
      </c>
      <c r="M210" s="699" t="s">
        <v>8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689"/>
      <c r="AC210" s="226" t="str">
        <f>IF(ISNA(VLOOKUP(F210,NXT!$C$18:$C$347,1,0)),x,"")</f>
        <v/>
      </c>
      <c r="AD210" s="689"/>
    </row>
    <row r="211" spans="1:30" s="226" customFormat="1" ht="15.75" customHeight="1">
      <c r="A211" s="219" t="str">
        <f>IF(B211&lt;&gt;"",IF(AND(B211&gt;=_TM1,B211&lt;=_TM2,OR(TH!L211="1111",TH!M211="1111")),TH!D211,""),"")</f>
        <v/>
      </c>
      <c r="B211" s="36">
        <f t="shared" si="17"/>
        <v>3</v>
      </c>
      <c r="C211" s="37">
        <v>40988</v>
      </c>
      <c r="D211" s="195" t="s">
        <v>524</v>
      </c>
      <c r="E211" s="37">
        <v>40988</v>
      </c>
      <c r="F211" s="203" t="s">
        <v>677</v>
      </c>
      <c r="G211" s="580" t="s">
        <v>657</v>
      </c>
      <c r="H211" s="7" t="s">
        <v>630</v>
      </c>
      <c r="I211" s="277">
        <v>102</v>
      </c>
      <c r="J211" s="277">
        <v>14573</v>
      </c>
      <c r="K211" s="698">
        <v>1486446</v>
      </c>
      <c r="L211" s="39" t="s">
        <v>186</v>
      </c>
      <c r="M211" s="699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  <c r="AC211" s="226" t="str">
        <f>IF(ISNA(VLOOKUP(F211,NXT!$C$18:$C$347,1,0)),x,"")</f>
        <v/>
      </c>
      <c r="AD211" s="689"/>
    </row>
    <row r="212" spans="1:30" s="226" customFormat="1" ht="15.75" customHeight="1">
      <c r="A212" s="219" t="str">
        <f>IF(B212&lt;&gt;"",IF(AND(B212&gt;=_TM1,B212&lt;=_TM2,OR(TH!L212="1111",TH!M212="1111")),TH!D212,""),"")</f>
        <v/>
      </c>
      <c r="B212" s="36">
        <f t="shared" si="17"/>
        <v>3</v>
      </c>
      <c r="C212" s="37">
        <v>40988</v>
      </c>
      <c r="D212" s="195" t="s">
        <v>524</v>
      </c>
      <c r="E212" s="37">
        <v>40988</v>
      </c>
      <c r="F212" s="203" t="s">
        <v>678</v>
      </c>
      <c r="G212" s="580" t="s">
        <v>657</v>
      </c>
      <c r="H212" s="7" t="s">
        <v>630</v>
      </c>
      <c r="I212" s="278">
        <v>195</v>
      </c>
      <c r="J212" s="278">
        <v>18008</v>
      </c>
      <c r="K212" s="698">
        <v>3511560</v>
      </c>
      <c r="L212" s="39" t="s">
        <v>186</v>
      </c>
      <c r="M212" s="699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  <c r="AB212" s="689"/>
      <c r="AC212" s="226" t="str">
        <f>IF(ISNA(VLOOKUP(F212,NXT!$C$18:$C$347,1,0)),x,"")</f>
        <v/>
      </c>
      <c r="AD212" s="689"/>
    </row>
    <row r="213" spans="1:30" s="226" customFormat="1" ht="15.75" customHeight="1">
      <c r="A213" s="219" t="str">
        <f>IF(B213&lt;&gt;"",IF(AND(B213&gt;=_TM1,B213&lt;=_TM2,OR(TH!L213="1111",TH!M213="1111")),TH!D213,""),"")</f>
        <v/>
      </c>
      <c r="B213" s="36">
        <f t="shared" si="17"/>
        <v>3</v>
      </c>
      <c r="C213" s="37">
        <v>40988</v>
      </c>
      <c r="D213" s="195" t="s">
        <v>524</v>
      </c>
      <c r="E213" s="37">
        <v>40988</v>
      </c>
      <c r="F213" s="203" t="s">
        <v>679</v>
      </c>
      <c r="G213" s="580" t="s">
        <v>657</v>
      </c>
      <c r="H213" s="7" t="s">
        <v>630</v>
      </c>
      <c r="I213" s="277">
        <v>105</v>
      </c>
      <c r="J213" s="277">
        <v>23373</v>
      </c>
      <c r="K213" s="698">
        <v>2454165</v>
      </c>
      <c r="L213" s="39" t="s">
        <v>186</v>
      </c>
      <c r="M213" s="699" t="s">
        <v>8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  <c r="AC213" s="226" t="str">
        <f>IF(ISNA(VLOOKUP(F213,NXT!$C$18:$C$347,1,0)),x,"")</f>
        <v/>
      </c>
      <c r="AD213" s="689"/>
    </row>
    <row r="214" spans="1:30" s="689" customFormat="1" ht="15.75" customHeight="1">
      <c r="A214" s="219" t="str">
        <f>IF(B214&lt;&gt;"",IF(AND(B214&gt;=_TM1,B214&lt;=_TM2,OR(TH!L214="1111",TH!M214="1111")),TH!D214,""),"")</f>
        <v/>
      </c>
      <c r="B214" s="36">
        <f t="shared" si="17"/>
        <v>3</v>
      </c>
      <c r="C214" s="37">
        <v>40988</v>
      </c>
      <c r="D214" s="195" t="s">
        <v>525</v>
      </c>
      <c r="E214" s="37">
        <v>40988</v>
      </c>
      <c r="F214" s="203" t="s">
        <v>680</v>
      </c>
      <c r="G214" s="580" t="s">
        <v>657</v>
      </c>
      <c r="H214" s="7" t="s">
        <v>630</v>
      </c>
      <c r="I214" s="278">
        <v>139</v>
      </c>
      <c r="J214" s="278">
        <v>28381</v>
      </c>
      <c r="K214" s="38">
        <v>3944959</v>
      </c>
      <c r="L214" s="39" t="s">
        <v>186</v>
      </c>
      <c r="M214" s="699" t="s">
        <v>8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C214" s="226" t="str">
        <f>IF(ISNA(VLOOKUP(F214,NXT!$C$18:$C$347,1,0)),x,"")</f>
        <v/>
      </c>
    </row>
    <row r="215" spans="1:30" s="689" customFormat="1" ht="15.75" customHeight="1">
      <c r="A215" s="219" t="str">
        <f>IF(B215&lt;&gt;"",IF(AND(B215&gt;=_TM1,B215&lt;=_TM2,OR(TH!L215="1111",TH!M215="1111")),TH!D215,""),"")</f>
        <v/>
      </c>
      <c r="B215" s="36">
        <f t="shared" si="17"/>
        <v>3</v>
      </c>
      <c r="C215" s="37">
        <v>40988</v>
      </c>
      <c r="D215" s="195" t="s">
        <v>525</v>
      </c>
      <c r="E215" s="37">
        <v>40988</v>
      </c>
      <c r="F215" s="40" t="s">
        <v>681</v>
      </c>
      <c r="G215" s="580" t="s">
        <v>657</v>
      </c>
      <c r="H215" s="47" t="s">
        <v>630</v>
      </c>
      <c r="I215" s="277">
        <v>78</v>
      </c>
      <c r="J215" s="277">
        <v>26573</v>
      </c>
      <c r="K215" s="38">
        <v>2072694</v>
      </c>
      <c r="L215" s="39" t="s">
        <v>186</v>
      </c>
      <c r="M215" s="699" t="s">
        <v>8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  <c r="AC215" s="226" t="str">
        <f>IF(ISNA(VLOOKUP(F215,NXT!$C$18:$C$347,1,0)),x,"")</f>
        <v/>
      </c>
    </row>
    <row r="216" spans="1:30" s="689" customFormat="1" ht="15.75" customHeight="1">
      <c r="A216" s="219" t="str">
        <f>IF(B216&lt;&gt;"",IF(AND(B216&gt;=_TM1,B216&lt;=_TM2,OR(TH!L216="1111",TH!M216="1111")),TH!D216,""),"")</f>
        <v/>
      </c>
      <c r="B216" s="36">
        <f t="shared" si="17"/>
        <v>3</v>
      </c>
      <c r="C216" s="37">
        <v>40988</v>
      </c>
      <c r="D216" s="195" t="s">
        <v>525</v>
      </c>
      <c r="E216" s="37">
        <v>40988</v>
      </c>
      <c r="F216" s="40" t="s">
        <v>682</v>
      </c>
      <c r="G216" s="580" t="s">
        <v>657</v>
      </c>
      <c r="H216" s="47" t="s">
        <v>630</v>
      </c>
      <c r="I216" s="277">
        <v>263</v>
      </c>
      <c r="J216" s="277">
        <v>11886</v>
      </c>
      <c r="K216" s="38">
        <v>3126018</v>
      </c>
      <c r="L216" s="39" t="s">
        <v>186</v>
      </c>
      <c r="M216" s="699" t="s">
        <v>8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  <c r="AC216" s="226" t="str">
        <f>IF(ISNA(VLOOKUP(F216,NXT!$C$18:$C$347,1,0)),x,"")</f>
        <v/>
      </c>
    </row>
    <row r="217" spans="1:30" s="226" customFormat="1" ht="15.75" customHeight="1">
      <c r="A217" s="219" t="str">
        <f>IF(B217&lt;&gt;"",IF(AND(B217&gt;=_TM1,B217&lt;=_TM2,OR(TH!L217="1111",TH!M217="1111")),TH!D217,""),"")</f>
        <v/>
      </c>
      <c r="B217" s="36">
        <f t="shared" si="17"/>
        <v>3</v>
      </c>
      <c r="C217" s="37">
        <v>40988</v>
      </c>
      <c r="D217" s="195" t="s">
        <v>525</v>
      </c>
      <c r="E217" s="37">
        <v>40988</v>
      </c>
      <c r="F217" s="203" t="s">
        <v>683</v>
      </c>
      <c r="G217" s="580" t="s">
        <v>657</v>
      </c>
      <c r="H217" s="7" t="s">
        <v>630</v>
      </c>
      <c r="I217" s="277">
        <v>225</v>
      </c>
      <c r="J217" s="277">
        <v>15974</v>
      </c>
      <c r="K217" s="698">
        <v>3594150</v>
      </c>
      <c r="L217" s="39" t="s">
        <v>186</v>
      </c>
      <c r="M217" s="699" t="s">
        <v>8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689"/>
      <c r="AC217" s="226" t="str">
        <f>IF(ISNA(VLOOKUP(F217,NXT!$C$18:$C$347,1,0)),x,"")</f>
        <v/>
      </c>
      <c r="AD217" s="689"/>
    </row>
    <row r="218" spans="1:30" s="226" customFormat="1" ht="15.75" customHeight="1">
      <c r="A218" s="219" t="str">
        <f>IF(B218&lt;&gt;"",IF(AND(B218&gt;=_TM1,B218&lt;=_TM2,OR(TH!L218="1111",TH!M218="1111")),TH!D218,""),"")</f>
        <v/>
      </c>
      <c r="B218" s="36">
        <f t="shared" si="17"/>
        <v>3</v>
      </c>
      <c r="C218" s="37">
        <v>40988</v>
      </c>
      <c r="D218" s="195" t="s">
        <v>525</v>
      </c>
      <c r="E218" s="37">
        <v>40988</v>
      </c>
      <c r="F218" s="203" t="s">
        <v>628</v>
      </c>
      <c r="G218" s="580" t="s">
        <v>657</v>
      </c>
      <c r="H218" s="7" t="s">
        <v>630</v>
      </c>
      <c r="I218" s="277">
        <v>309</v>
      </c>
      <c r="J218" s="277">
        <v>13372</v>
      </c>
      <c r="K218" s="698">
        <v>4131948</v>
      </c>
      <c r="L218" s="39" t="s">
        <v>186</v>
      </c>
      <c r="M218" s="699" t="s">
        <v>8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C218" s="226" t="str">
        <f>IF(ISNA(VLOOKUP(F218,NXT!$C$18:$C$347,1,0)),x,"")</f>
        <v/>
      </c>
      <c r="AD218" s="689"/>
    </row>
    <row r="219" spans="1:30" s="226" customFormat="1" ht="15.75" customHeight="1">
      <c r="A219" s="219" t="str">
        <f>IF(B219&lt;&gt;"",IF(AND(B219&gt;=_TM1,B219&lt;=_TM2,OR(TH!L219="1111",TH!M219="1111")),TH!D219,""),"")</f>
        <v/>
      </c>
      <c r="B219" s="36">
        <f t="shared" si="17"/>
        <v>3</v>
      </c>
      <c r="C219" s="37">
        <v>40988</v>
      </c>
      <c r="D219" s="195" t="s">
        <v>525</v>
      </c>
      <c r="E219" s="37">
        <v>40988</v>
      </c>
      <c r="F219" s="203" t="s">
        <v>684</v>
      </c>
      <c r="G219" s="580" t="s">
        <v>657</v>
      </c>
      <c r="H219" s="7" t="s">
        <v>630</v>
      </c>
      <c r="I219" s="277">
        <v>520</v>
      </c>
      <c r="J219" s="277">
        <v>21434</v>
      </c>
      <c r="K219" s="698">
        <v>11145680</v>
      </c>
      <c r="L219" s="39" t="s">
        <v>186</v>
      </c>
      <c r="M219" s="699" t="s">
        <v>8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  <c r="AB219" s="689"/>
      <c r="AC219" s="226" t="str">
        <f>IF(ISNA(VLOOKUP(F219,NXT!$C$18:$C$347,1,0)),x,"")</f>
        <v/>
      </c>
      <c r="AD219" s="689"/>
    </row>
    <row r="220" spans="1:30" s="226" customFormat="1" ht="15.75" customHeight="1">
      <c r="A220" s="219" t="str">
        <f>IF(B220&lt;&gt;"",IF(AND(B220&gt;=_TM1,B220&lt;=_TM2,OR(TH!L220="1111",TH!M220="1111")),TH!D220,""),"")</f>
        <v/>
      </c>
      <c r="B220" s="36">
        <f t="shared" si="17"/>
        <v>3</v>
      </c>
      <c r="C220" s="37">
        <v>40988</v>
      </c>
      <c r="D220" s="195" t="s">
        <v>525</v>
      </c>
      <c r="E220" s="37">
        <v>40988</v>
      </c>
      <c r="F220" s="203" t="s">
        <v>685</v>
      </c>
      <c r="G220" s="580" t="s">
        <v>657</v>
      </c>
      <c r="H220" s="7" t="s">
        <v>630</v>
      </c>
      <c r="I220" s="277">
        <v>336</v>
      </c>
      <c r="J220" s="277">
        <v>28538</v>
      </c>
      <c r="K220" s="698">
        <v>9588768</v>
      </c>
      <c r="L220" s="39" t="s">
        <v>186</v>
      </c>
      <c r="M220" s="699" t="s">
        <v>8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C220" s="226" t="str">
        <f>IF(ISNA(VLOOKUP(F220,NXT!$C$18:$C$347,1,0)),x,"")</f>
        <v/>
      </c>
      <c r="AD220" s="689"/>
    </row>
    <row r="221" spans="1:30" s="226" customFormat="1" ht="15.75" customHeight="1">
      <c r="A221" s="219" t="str">
        <f>IF(B221&lt;&gt;"",IF(AND(B221&gt;=_TM1,B221&lt;=_TM2,OR(TH!L221="1111",TH!M221="1111")),TH!D221,""),"")</f>
        <v/>
      </c>
      <c r="B221" s="36">
        <f t="shared" si="17"/>
        <v>3</v>
      </c>
      <c r="C221" s="37">
        <v>40988</v>
      </c>
      <c r="D221" s="195" t="s">
        <v>525</v>
      </c>
      <c r="E221" s="37">
        <v>40988</v>
      </c>
      <c r="F221" s="203" t="s">
        <v>644</v>
      </c>
      <c r="G221" s="580" t="s">
        <v>657</v>
      </c>
      <c r="H221" s="7" t="s">
        <v>630</v>
      </c>
      <c r="I221" s="277"/>
      <c r="J221" s="277"/>
      <c r="K221" s="698">
        <v>9956094</v>
      </c>
      <c r="L221" s="39" t="s">
        <v>9</v>
      </c>
      <c r="M221" s="699" t="s">
        <v>8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689"/>
      <c r="AC221" s="689"/>
    </row>
    <row r="222" spans="1:30" s="226" customFormat="1" ht="15.75" customHeight="1">
      <c r="A222" s="219" t="str">
        <f>IF(B222&lt;&gt;"",IF(AND(B222&gt;=_TM1,B222&lt;=_TM2,OR(TH!L222="1111",TH!M222="1111")),TH!D222,""),"")</f>
        <v/>
      </c>
      <c r="B222" s="36">
        <f t="shared" si="17"/>
        <v>3</v>
      </c>
      <c r="C222" s="37">
        <v>40989</v>
      </c>
      <c r="D222" s="195" t="s">
        <v>1111</v>
      </c>
      <c r="E222" s="37">
        <v>40989</v>
      </c>
      <c r="F222" s="203" t="s">
        <v>550</v>
      </c>
      <c r="G222" s="580" t="s">
        <v>401</v>
      </c>
      <c r="H222" s="7" t="s">
        <v>452</v>
      </c>
      <c r="I222" s="277"/>
      <c r="J222" s="277"/>
      <c r="K222" s="698">
        <v>31000000</v>
      </c>
      <c r="L222" s="39" t="s">
        <v>49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>x</v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B222" s="689"/>
      <c r="AC222" s="689"/>
    </row>
    <row r="223" spans="1:30" s="226" customFormat="1" ht="15.75" customHeight="1">
      <c r="A223" s="219" t="str">
        <f>IF(B223&lt;&gt;"",IF(AND(B223&gt;=_TM1,B223&lt;=_TM2,OR(TH!L223="1111",TH!M223="1111")),TH!D223,""),"")</f>
        <v/>
      </c>
      <c r="B223" s="36">
        <f t="shared" si="17"/>
        <v>3</v>
      </c>
      <c r="C223" s="37">
        <v>40991</v>
      </c>
      <c r="D223" s="195" t="s">
        <v>526</v>
      </c>
      <c r="E223" s="37">
        <v>40991</v>
      </c>
      <c r="F223" s="203" t="s">
        <v>686</v>
      </c>
      <c r="G223" s="580" t="s">
        <v>687</v>
      </c>
      <c r="H223" s="7" t="s">
        <v>630</v>
      </c>
      <c r="I223" s="277">
        <v>436</v>
      </c>
      <c r="J223" s="277">
        <v>25225</v>
      </c>
      <c r="K223" s="38">
        <v>10998100</v>
      </c>
      <c r="L223" s="39" t="s">
        <v>186</v>
      </c>
      <c r="M223" s="699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689"/>
      <c r="AC223" s="226" t="str">
        <f>IF(ISNA(VLOOKUP(F223,NXT!$C$18:$C$347,1,0)),x,"")</f>
        <v/>
      </c>
    </row>
    <row r="224" spans="1:30" s="689" customFormat="1" ht="15.75" customHeight="1">
      <c r="A224" s="219" t="str">
        <f>IF(B224&lt;&gt;"",IF(AND(B224&gt;=_TM1,B224&lt;=_TM2,OR(TH!L224="1111",TH!M224="1111")),TH!D224,""),"")</f>
        <v/>
      </c>
      <c r="B224" s="36">
        <f t="shared" si="17"/>
        <v>3</v>
      </c>
      <c r="C224" s="37">
        <v>40991</v>
      </c>
      <c r="D224" s="195" t="s">
        <v>526</v>
      </c>
      <c r="E224" s="37">
        <v>40991</v>
      </c>
      <c r="F224" s="40" t="s">
        <v>685</v>
      </c>
      <c r="G224" s="580" t="s">
        <v>687</v>
      </c>
      <c r="H224" s="45" t="s">
        <v>630</v>
      </c>
      <c r="I224" s="277">
        <v>342</v>
      </c>
      <c r="J224" s="277">
        <v>28538</v>
      </c>
      <c r="K224" s="38">
        <v>9759996</v>
      </c>
      <c r="L224" s="39" t="s">
        <v>186</v>
      </c>
      <c r="M224" s="699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 t="str">
        <f>IF(ISNA(VLOOKUP(F224,NXT!$C$18:$C$347,1,0)),x,"")</f>
        <v/>
      </c>
    </row>
    <row r="225" spans="1:30" s="689" customFormat="1" ht="15.75" customHeight="1">
      <c r="A225" s="219" t="str">
        <f>IF(B225&lt;&gt;"",IF(AND(B225&gt;=_TM1,B225&lt;=_TM2,OR(TH!L225="1111",TH!M225="1111")),TH!D225,""),"")</f>
        <v/>
      </c>
      <c r="B225" s="36">
        <f t="shared" si="17"/>
        <v>3</v>
      </c>
      <c r="C225" s="37">
        <v>40991</v>
      </c>
      <c r="D225" s="195" t="s">
        <v>526</v>
      </c>
      <c r="E225" s="37">
        <v>40991</v>
      </c>
      <c r="F225" s="40" t="s">
        <v>688</v>
      </c>
      <c r="G225" s="580" t="s">
        <v>687</v>
      </c>
      <c r="H225" s="45" t="s">
        <v>630</v>
      </c>
      <c r="I225" s="277">
        <v>130</v>
      </c>
      <c r="J225" s="277">
        <v>25480</v>
      </c>
      <c r="K225" s="38">
        <v>3312400</v>
      </c>
      <c r="L225" s="39" t="s">
        <v>186</v>
      </c>
      <c r="M225" s="699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C225" s="226" t="str">
        <f>IF(ISNA(VLOOKUP(F225,NXT!$C$18:$C$347,1,0)),x,"")</f>
        <v/>
      </c>
    </row>
    <row r="226" spans="1:30" s="689" customFormat="1" ht="15.75" customHeight="1">
      <c r="A226" s="219" t="str">
        <f>IF(B226&lt;&gt;"",IF(AND(B226&gt;=_TM1,B226&lt;=_TM2,OR(TH!L226="1111",TH!M226="1111")),TH!D226,""),"")</f>
        <v/>
      </c>
      <c r="B226" s="36">
        <f t="shared" si="17"/>
        <v>3</v>
      </c>
      <c r="C226" s="37">
        <v>40991</v>
      </c>
      <c r="D226" s="195" t="s">
        <v>526</v>
      </c>
      <c r="E226" s="37">
        <v>40991</v>
      </c>
      <c r="F226" s="40" t="s">
        <v>644</v>
      </c>
      <c r="G226" s="580" t="s">
        <v>687</v>
      </c>
      <c r="H226" s="45" t="s">
        <v>630</v>
      </c>
      <c r="I226" s="278"/>
      <c r="J226" s="278"/>
      <c r="K226" s="698">
        <v>2407050</v>
      </c>
      <c r="L226" s="39" t="s">
        <v>9</v>
      </c>
      <c r="M226" s="699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B226" s="226"/>
      <c r="AC226" s="226"/>
      <c r="AD226" s="226"/>
    </row>
    <row r="227" spans="1:30" s="226" customFormat="1" ht="15.75" customHeight="1">
      <c r="A227" s="219" t="str">
        <f>IF(B227&lt;&gt;"",IF(AND(B227&gt;=_TM1,B227&lt;=_TM2,OR(TH!L227="1111",TH!M227="1111")),TH!D227,""),"")</f>
        <v/>
      </c>
      <c r="B227" s="36">
        <f t="shared" si="17"/>
        <v>3</v>
      </c>
      <c r="C227" s="37">
        <v>40992</v>
      </c>
      <c r="D227" s="195" t="s">
        <v>404</v>
      </c>
      <c r="E227" s="37">
        <v>40992</v>
      </c>
      <c r="F227" s="40" t="s">
        <v>453</v>
      </c>
      <c r="G227" s="580" t="s">
        <v>401</v>
      </c>
      <c r="H227" s="45"/>
      <c r="I227" s="277"/>
      <c r="J227" s="277"/>
      <c r="K227" s="698">
        <v>54015</v>
      </c>
      <c r="L227" s="39" t="s">
        <v>24</v>
      </c>
      <c r="M227" s="39" t="s">
        <v>41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>x</v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B227" s="689"/>
      <c r="AC227" s="689"/>
    </row>
    <row r="228" spans="1:30" s="226" customFormat="1" ht="15.75" customHeight="1">
      <c r="A228" s="219" t="str">
        <f>IF(B228&lt;&gt;"",IF(AND(B228&gt;=_TM1,B228&lt;=_TM2,OR(TH!L228="1111",TH!M228="1111")),TH!D228,""),"")</f>
        <v/>
      </c>
      <c r="B228" s="36">
        <f t="shared" si="17"/>
        <v>3</v>
      </c>
      <c r="C228" s="37">
        <v>40992</v>
      </c>
      <c r="D228" s="195" t="s">
        <v>527</v>
      </c>
      <c r="E228" s="37">
        <v>40992</v>
      </c>
      <c r="F228" s="40" t="s">
        <v>689</v>
      </c>
      <c r="G228" s="580" t="s">
        <v>690</v>
      </c>
      <c r="H228" s="45" t="s">
        <v>630</v>
      </c>
      <c r="I228" s="277">
        <v>254</v>
      </c>
      <c r="J228" s="277">
        <v>16565</v>
      </c>
      <c r="K228" s="698">
        <v>4207510</v>
      </c>
      <c r="L228" s="39" t="s">
        <v>186</v>
      </c>
      <c r="M228" s="699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 t="str">
        <f>IF(ISNA(VLOOKUP(F228,NXT!$C$18:$C$347,1,0)),x,"")</f>
        <v/>
      </c>
    </row>
    <row r="229" spans="1:30" s="226" customFormat="1" ht="15.75" customHeight="1">
      <c r="A229" s="219" t="str">
        <f>IF(B229&lt;&gt;"",IF(AND(B229&gt;=_TM1,B229&lt;=_TM2,OR(TH!L229="1111",TH!M229="1111")),TH!D229,""),"")</f>
        <v/>
      </c>
      <c r="B229" s="36">
        <f t="shared" si="17"/>
        <v>3</v>
      </c>
      <c r="C229" s="37">
        <v>40992</v>
      </c>
      <c r="D229" s="195" t="s">
        <v>527</v>
      </c>
      <c r="E229" s="37">
        <v>40992</v>
      </c>
      <c r="F229" s="40" t="s">
        <v>691</v>
      </c>
      <c r="G229" s="580" t="s">
        <v>690</v>
      </c>
      <c r="H229" s="45" t="s">
        <v>630</v>
      </c>
      <c r="I229" s="277">
        <v>760</v>
      </c>
      <c r="J229" s="277">
        <v>12936</v>
      </c>
      <c r="K229" s="698">
        <v>9831360</v>
      </c>
      <c r="L229" s="39" t="s">
        <v>186</v>
      </c>
      <c r="M229" s="699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B229" s="689"/>
      <c r="AC229" s="226" t="str">
        <f>IF(ISNA(VLOOKUP(F229,NXT!$C$18:$C$347,1,0)),x,"")</f>
        <v/>
      </c>
    </row>
    <row r="230" spans="1:30" s="226" customFormat="1" ht="15.75" customHeight="1">
      <c r="A230" s="219" t="str">
        <f>IF(B230&lt;&gt;"",IF(AND(B230&gt;=_TM1,B230&lt;=_TM2,OR(TH!L230="1111",TH!M230="1111")),TH!D230,""),"")</f>
        <v/>
      </c>
      <c r="B230" s="36">
        <f t="shared" si="17"/>
        <v>3</v>
      </c>
      <c r="C230" s="37">
        <v>40992</v>
      </c>
      <c r="D230" s="195" t="s">
        <v>527</v>
      </c>
      <c r="E230" s="37">
        <v>40992</v>
      </c>
      <c r="F230" s="40" t="s">
        <v>692</v>
      </c>
      <c r="G230" s="580" t="s">
        <v>690</v>
      </c>
      <c r="H230" s="45" t="s">
        <v>630</v>
      </c>
      <c r="I230" s="279">
        <v>103</v>
      </c>
      <c r="J230" s="279">
        <v>8555</v>
      </c>
      <c r="K230" s="38">
        <v>881165</v>
      </c>
      <c r="L230" s="39" t="s">
        <v>186</v>
      </c>
      <c r="M230" s="699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 t="str">
        <f>IF(ISNA(VLOOKUP(F230,NXT!$C$18:$C$347,1,0)),x,"")</f>
        <v/>
      </c>
    </row>
    <row r="231" spans="1:30" s="226" customFormat="1" ht="15.75" customHeight="1">
      <c r="A231" s="219" t="str">
        <f>IF(B231&lt;&gt;"",IF(AND(B231&gt;=_TM1,B231&lt;=_TM2,OR(TH!L231="1111",TH!M231="1111")),TH!D231,""),"")</f>
        <v/>
      </c>
      <c r="B231" s="36">
        <f t="shared" si="17"/>
        <v>3</v>
      </c>
      <c r="C231" s="37">
        <v>40992</v>
      </c>
      <c r="D231" s="195" t="s">
        <v>527</v>
      </c>
      <c r="E231" s="37">
        <v>40992</v>
      </c>
      <c r="F231" s="330" t="s">
        <v>693</v>
      </c>
      <c r="G231" s="580" t="s">
        <v>690</v>
      </c>
      <c r="H231" s="7" t="s">
        <v>630</v>
      </c>
      <c r="I231" s="278">
        <v>118</v>
      </c>
      <c r="J231" s="278">
        <v>12260</v>
      </c>
      <c r="K231" s="698">
        <v>1446680</v>
      </c>
      <c r="L231" s="39" t="s">
        <v>186</v>
      </c>
      <c r="M231" s="699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689"/>
      <c r="AC231" s="226" t="str">
        <f>IF(ISNA(VLOOKUP(F231,NXT!$C$18:$C$347,1,0)),x,"")</f>
        <v/>
      </c>
      <c r="AD231" s="689"/>
    </row>
    <row r="232" spans="1:30" s="226" customFormat="1" ht="15.75" customHeight="1">
      <c r="A232" s="219" t="str">
        <f>IF(B232&lt;&gt;"",IF(AND(B232&gt;=_TM1,B232&lt;=_TM2,OR(TH!L232="1111",TH!M232="1111")),TH!D232,""),"")</f>
        <v/>
      </c>
      <c r="B232" s="36">
        <f t="shared" si="17"/>
        <v>3</v>
      </c>
      <c r="C232" s="37">
        <v>40992</v>
      </c>
      <c r="D232" s="195" t="s">
        <v>527</v>
      </c>
      <c r="E232" s="37">
        <v>40992</v>
      </c>
      <c r="F232" s="40" t="s">
        <v>644</v>
      </c>
      <c r="G232" s="580" t="s">
        <v>690</v>
      </c>
      <c r="H232" s="7" t="s">
        <v>630</v>
      </c>
      <c r="I232" s="277"/>
      <c r="J232" s="277"/>
      <c r="K232" s="38">
        <v>1636672</v>
      </c>
      <c r="L232" s="39" t="s">
        <v>9</v>
      </c>
      <c r="M232" s="699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/>
      </c>
      <c r="AB232" s="689"/>
      <c r="AC232" s="689"/>
      <c r="AD232" s="689"/>
    </row>
    <row r="233" spans="1:30" s="689" customFormat="1" ht="15.75" customHeight="1">
      <c r="A233" s="219" t="str">
        <f>IF(B233&lt;&gt;"",IF(AND(B233&gt;=_TM1,B233&lt;=_TM2,OR(TH!L233="1111",TH!M233="1111")),TH!D233,""),"")</f>
        <v/>
      </c>
      <c r="B233" s="36">
        <f t="shared" si="17"/>
        <v>3</v>
      </c>
      <c r="C233" s="195">
        <v>40994</v>
      </c>
      <c r="D233" s="195" t="s">
        <v>404</v>
      </c>
      <c r="E233" s="195">
        <v>40994</v>
      </c>
      <c r="F233" s="203" t="s">
        <v>406</v>
      </c>
      <c r="G233" s="700" t="s">
        <v>401</v>
      </c>
      <c r="H233" s="7" t="s">
        <v>416</v>
      </c>
      <c r="I233" s="277"/>
      <c r="J233" s="277"/>
      <c r="K233" s="698">
        <v>21875651</v>
      </c>
      <c r="L233" s="699" t="s">
        <v>24</v>
      </c>
      <c r="M233" s="699" t="s">
        <v>311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>x</v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/>
      </c>
    </row>
    <row r="234" spans="1:30" s="689" customFormat="1" ht="15.75" customHeight="1">
      <c r="A234" s="219" t="str">
        <f>IF(B234&lt;&gt;"",IF(AND(B234&gt;=_TM1,B234&lt;=_TM2,OR(TH!L234="1111",TH!M234="1111")),TH!D234,""),"")</f>
        <v/>
      </c>
      <c r="B234" s="36">
        <f t="shared" si="17"/>
        <v>3</v>
      </c>
      <c r="C234" s="195">
        <v>40996</v>
      </c>
      <c r="D234" s="195" t="s">
        <v>528</v>
      </c>
      <c r="E234" s="195">
        <v>40996</v>
      </c>
      <c r="F234" s="203" t="s">
        <v>694</v>
      </c>
      <c r="G234" s="700" t="s">
        <v>695</v>
      </c>
      <c r="H234" s="7" t="s">
        <v>696</v>
      </c>
      <c r="I234" s="277">
        <v>250</v>
      </c>
      <c r="J234" s="277">
        <v>24720</v>
      </c>
      <c r="K234" s="698">
        <v>6180000</v>
      </c>
      <c r="L234" s="699" t="s">
        <v>186</v>
      </c>
      <c r="M234" s="699" t="s">
        <v>8</v>
      </c>
      <c r="N234" s="55" t="str">
        <f>IF(AND('331-CT'!$E$7=TH!H234,OR(L234="331",M234="331")),"x","")</f>
        <v>x</v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/>
      </c>
      <c r="AC234" s="226" t="str">
        <f>IF(ISNA(VLOOKUP(F234,NXT!$C$18:$C$347,1,0)),x,"")</f>
        <v/>
      </c>
    </row>
    <row r="235" spans="1:30" s="689" customFormat="1" ht="15.75" customHeight="1">
      <c r="A235" s="219" t="str">
        <f>IF(B235&lt;&gt;"",IF(AND(B235&gt;=_TM1,B235&lt;=_TM2,OR(TH!L235="1111",TH!M235="1111")),TH!D235,""),"")</f>
        <v/>
      </c>
      <c r="B235" s="36">
        <f t="shared" si="17"/>
        <v>3</v>
      </c>
      <c r="C235" s="195">
        <v>40996</v>
      </c>
      <c r="D235" s="195" t="s">
        <v>528</v>
      </c>
      <c r="E235" s="195">
        <v>40996</v>
      </c>
      <c r="F235" s="203" t="s">
        <v>697</v>
      </c>
      <c r="G235" s="700" t="s">
        <v>695</v>
      </c>
      <c r="H235" s="7" t="s">
        <v>696</v>
      </c>
      <c r="I235" s="277">
        <v>100</v>
      </c>
      <c r="J235" s="277">
        <v>13370</v>
      </c>
      <c r="K235" s="698">
        <v>1337000</v>
      </c>
      <c r="L235" s="699" t="s">
        <v>186</v>
      </c>
      <c r="M235" s="699" t="s">
        <v>8</v>
      </c>
      <c r="N235" s="55" t="str">
        <f>IF(AND('331-CT'!$E$7=TH!H235,OR(L235="331",M235="331")),"x","")</f>
        <v>x</v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/>
      </c>
      <c r="AC235" s="226" t="str">
        <f>IF(ISNA(VLOOKUP(F235,NXT!$C$18:$C$347,1,0)),x,"")</f>
        <v/>
      </c>
    </row>
    <row r="236" spans="1:30" s="689" customFormat="1" ht="15.75" customHeight="1">
      <c r="A236" s="219" t="str">
        <f>IF(B236&lt;&gt;"",IF(AND(B236&gt;=_TM1,B236&lt;=_TM2,OR(TH!L236="1111",TH!M236="1111")),TH!D236,""),"")</f>
        <v/>
      </c>
      <c r="B236" s="36">
        <f t="shared" si="17"/>
        <v>3</v>
      </c>
      <c r="C236" s="37">
        <v>40996</v>
      </c>
      <c r="D236" s="195" t="s">
        <v>528</v>
      </c>
      <c r="E236" s="37">
        <v>40996</v>
      </c>
      <c r="F236" s="203" t="s">
        <v>698</v>
      </c>
      <c r="G236" s="580" t="s">
        <v>695</v>
      </c>
      <c r="H236" s="7" t="s">
        <v>696</v>
      </c>
      <c r="I236" s="277">
        <v>1000</v>
      </c>
      <c r="J236" s="277">
        <v>10130</v>
      </c>
      <c r="K236" s="698">
        <v>10130000</v>
      </c>
      <c r="L236" s="39" t="s">
        <v>186</v>
      </c>
      <c r="M236" s="699" t="s">
        <v>8</v>
      </c>
      <c r="N236" s="55" t="str">
        <f>IF(AND('331-CT'!$E$7=TH!H236,OR(L236="331",M236="331")),"x","")</f>
        <v>x</v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C236" s="226" t="str">
        <f>IF(ISNA(VLOOKUP(F236,NXT!$C$18:$C$347,1,0)),x,"")</f>
        <v/>
      </c>
    </row>
    <row r="237" spans="1:30" s="689" customFormat="1" ht="15.75" customHeight="1">
      <c r="A237" s="219" t="str">
        <f>IF(B237&lt;&gt;"",IF(AND(B237&gt;=_TM1,B237&lt;=_TM2,OR(TH!L237="1111",TH!M237="1111")),TH!D237,""),"")</f>
        <v/>
      </c>
      <c r="B237" s="36">
        <f t="shared" si="17"/>
        <v>3</v>
      </c>
      <c r="C237" s="37">
        <v>40996</v>
      </c>
      <c r="D237" s="195" t="s">
        <v>528</v>
      </c>
      <c r="E237" s="37">
        <v>40996</v>
      </c>
      <c r="F237" s="203" t="s">
        <v>699</v>
      </c>
      <c r="G237" s="580" t="s">
        <v>695</v>
      </c>
      <c r="H237" s="7" t="s">
        <v>696</v>
      </c>
      <c r="I237" s="277"/>
      <c r="J237" s="277"/>
      <c r="K237" s="38">
        <v>1764700</v>
      </c>
      <c r="L237" s="39" t="s">
        <v>9</v>
      </c>
      <c r="M237" s="699" t="s">
        <v>8</v>
      </c>
      <c r="N237" s="55" t="str">
        <f>IF(AND('331-CT'!$E$7=TH!H237,OR(L237="331",M237="331")),"x","")</f>
        <v>x</v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/>
    </row>
    <row r="238" spans="1:30" s="689" customFormat="1" ht="15.75" customHeight="1">
      <c r="A238" s="219" t="str">
        <f>IF(B238&lt;&gt;"",IF(AND(B238&gt;=_TM1,B238&lt;=_TM2,OR(TH!L238="1111",TH!M238="1111")),TH!D238,""),"")</f>
        <v/>
      </c>
      <c r="B238" s="36">
        <f t="shared" si="17"/>
        <v>3</v>
      </c>
      <c r="C238" s="37">
        <v>40996</v>
      </c>
      <c r="D238" s="195" t="s">
        <v>500</v>
      </c>
      <c r="E238" s="37">
        <v>40996</v>
      </c>
      <c r="F238" s="40" t="s">
        <v>700</v>
      </c>
      <c r="G238" s="580" t="s">
        <v>701</v>
      </c>
      <c r="H238" s="7" t="s">
        <v>651</v>
      </c>
      <c r="I238" s="278"/>
      <c r="J238" s="278"/>
      <c r="K238" s="38">
        <v>2280000</v>
      </c>
      <c r="L238" s="39" t="s">
        <v>194</v>
      </c>
      <c r="M238" s="39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</row>
    <row r="239" spans="1:30" s="689" customFormat="1" ht="15.75" customHeight="1">
      <c r="A239" s="219" t="str">
        <f>IF(B239&lt;&gt;"",IF(AND(B239&gt;=_TM1,B239&lt;=_TM2,OR(TH!L239="1111",TH!M239="1111")),TH!D239,""),"")</f>
        <v/>
      </c>
      <c r="B239" s="36">
        <f t="shared" si="17"/>
        <v>3</v>
      </c>
      <c r="C239" s="37">
        <v>40996</v>
      </c>
      <c r="D239" s="195" t="s">
        <v>500</v>
      </c>
      <c r="E239" s="37">
        <v>40996</v>
      </c>
      <c r="F239" s="40" t="s">
        <v>413</v>
      </c>
      <c r="G239" s="580" t="s">
        <v>701</v>
      </c>
      <c r="H239" s="45" t="s">
        <v>651</v>
      </c>
      <c r="I239" s="277"/>
      <c r="J239" s="277"/>
      <c r="K239" s="698">
        <v>228000</v>
      </c>
      <c r="L239" s="39" t="s">
        <v>9</v>
      </c>
      <c r="M239" s="39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D239" s="226"/>
    </row>
    <row r="240" spans="1:30" s="689" customFormat="1" ht="15.75" customHeight="1">
      <c r="A240" s="219" t="str">
        <f>IF(B240&lt;&gt;"",IF(AND(B240&gt;=_TM1,B240&lt;=_TM2,OR(TH!L240="1111",TH!M240="1111")),TH!D240,""),"")</f>
        <v/>
      </c>
      <c r="B240" s="36">
        <f t="shared" si="17"/>
        <v>3</v>
      </c>
      <c r="C240" s="37">
        <v>40996</v>
      </c>
      <c r="D240" s="195" t="s">
        <v>501</v>
      </c>
      <c r="E240" s="37">
        <v>40996</v>
      </c>
      <c r="F240" s="40" t="s">
        <v>702</v>
      </c>
      <c r="G240" s="580" t="s">
        <v>703</v>
      </c>
      <c r="H240" s="45" t="s">
        <v>651</v>
      </c>
      <c r="I240" s="277"/>
      <c r="J240" s="277"/>
      <c r="K240" s="698">
        <v>7680000</v>
      </c>
      <c r="L240" s="39" t="s">
        <v>194</v>
      </c>
      <c r="M240" s="39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B240" s="226"/>
      <c r="AC240" s="226"/>
      <c r="AD240" s="226"/>
    </row>
    <row r="241" spans="1:30" s="689" customFormat="1" ht="15.75" customHeight="1">
      <c r="A241" s="219" t="str">
        <f>IF(B241&lt;&gt;"",IF(AND(B241&gt;=_TM1,B241&lt;=_TM2,OR(TH!L241="1111",TH!M241="1111")),TH!D241,""),"")</f>
        <v/>
      </c>
      <c r="B241" s="36">
        <f t="shared" si="17"/>
        <v>3</v>
      </c>
      <c r="C241" s="37">
        <v>40996</v>
      </c>
      <c r="D241" s="195" t="s">
        <v>501</v>
      </c>
      <c r="E241" s="37">
        <v>40996</v>
      </c>
      <c r="F241" s="40" t="s">
        <v>413</v>
      </c>
      <c r="G241" s="580" t="s">
        <v>703</v>
      </c>
      <c r="H241" s="45" t="s">
        <v>651</v>
      </c>
      <c r="I241" s="277"/>
      <c r="J241" s="277"/>
      <c r="K241" s="698">
        <v>768000</v>
      </c>
      <c r="L241" s="39" t="s">
        <v>9</v>
      </c>
      <c r="M241" s="39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D241" s="226"/>
    </row>
    <row r="242" spans="1:30" s="689" customFormat="1" ht="15.75" customHeight="1">
      <c r="A242" s="219" t="str">
        <f>IF(B242&lt;&gt;"",IF(AND(B242&gt;=_TM1,B242&lt;=_TM2,OR(TH!L242="1111",TH!M242="1111")),TH!D242,""),"")</f>
        <v/>
      </c>
      <c r="B242" s="36">
        <f t="shared" si="17"/>
        <v>3</v>
      </c>
      <c r="C242" s="37">
        <v>40998</v>
      </c>
      <c r="D242" s="195" t="s">
        <v>502</v>
      </c>
      <c r="E242" s="37">
        <v>40998</v>
      </c>
      <c r="F242" s="40" t="s">
        <v>704</v>
      </c>
      <c r="G242" s="580" t="s">
        <v>705</v>
      </c>
      <c r="H242" s="45" t="s">
        <v>651</v>
      </c>
      <c r="I242" s="277"/>
      <c r="J242" s="277"/>
      <c r="K242" s="38">
        <v>3150000</v>
      </c>
      <c r="L242" s="39" t="s">
        <v>194</v>
      </c>
      <c r="M242" s="39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B242" s="226"/>
      <c r="AC242" s="226"/>
      <c r="AD242" s="226"/>
    </row>
    <row r="243" spans="1:30" s="689" customFormat="1" ht="15.75" customHeight="1">
      <c r="A243" s="219" t="str">
        <f>IF(B243&lt;&gt;"",IF(AND(B243&gt;=_TM1,B243&lt;=_TM2,OR(TH!L243="1111",TH!M243="1111")),TH!D243,""),"")</f>
        <v/>
      </c>
      <c r="B243" s="36">
        <f t="shared" si="17"/>
        <v>3</v>
      </c>
      <c r="C243" s="195">
        <v>40998</v>
      </c>
      <c r="D243" s="195" t="s">
        <v>502</v>
      </c>
      <c r="E243" s="195">
        <v>40998</v>
      </c>
      <c r="F243" s="203" t="s">
        <v>413</v>
      </c>
      <c r="G243" s="700" t="s">
        <v>705</v>
      </c>
      <c r="H243" s="45" t="s">
        <v>651</v>
      </c>
      <c r="I243" s="277"/>
      <c r="J243" s="277"/>
      <c r="K243" s="698">
        <v>315000</v>
      </c>
      <c r="L243" s="699" t="s">
        <v>9</v>
      </c>
      <c r="M243" s="699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</row>
    <row r="244" spans="1:30" s="689" customFormat="1" ht="15.75" customHeight="1">
      <c r="A244" s="219" t="str">
        <f>IF(B244&lt;&gt;"",IF(AND(B244&gt;=_TM1,B244&lt;=_TM2,OR(TH!L244="1111",TH!M244="1111")),TH!D244,""),"")</f>
        <v/>
      </c>
      <c r="B244" s="36">
        <f t="shared" si="17"/>
        <v>4</v>
      </c>
      <c r="C244" s="37">
        <v>41002</v>
      </c>
      <c r="D244" s="37" t="s">
        <v>404</v>
      </c>
      <c r="E244" s="37">
        <v>41002</v>
      </c>
      <c r="F244" s="40" t="s">
        <v>406</v>
      </c>
      <c r="G244" s="580" t="s">
        <v>401</v>
      </c>
      <c r="H244" s="7" t="s">
        <v>1131</v>
      </c>
      <c r="I244" s="277"/>
      <c r="J244" s="277"/>
      <c r="K244" s="38">
        <v>37537610</v>
      </c>
      <c r="L244" s="39" t="s">
        <v>24</v>
      </c>
      <c r="M244" s="39" t="s">
        <v>311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>x</v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</row>
    <row r="245" spans="1:30" s="689" customFormat="1" ht="15.75" customHeight="1">
      <c r="A245" s="219" t="str">
        <f>IF(B245&lt;&gt;"",IF(AND(B245&gt;=_TM1,B245&lt;=_TM2,OR(TH!L245="1111",TH!M245="1111")),TH!D245,""),"")</f>
        <v/>
      </c>
      <c r="B245" s="36">
        <f t="shared" si="17"/>
        <v>4</v>
      </c>
      <c r="C245" s="37">
        <v>41002</v>
      </c>
      <c r="D245" s="37" t="s">
        <v>405</v>
      </c>
      <c r="E245" s="37">
        <v>41002</v>
      </c>
      <c r="F245" s="40" t="s">
        <v>550</v>
      </c>
      <c r="G245" s="580" t="s">
        <v>401</v>
      </c>
      <c r="H245" s="45" t="s">
        <v>706</v>
      </c>
      <c r="I245" s="277"/>
      <c r="J245" s="277"/>
      <c r="K245" s="38">
        <v>21500000</v>
      </c>
      <c r="L245" s="39" t="s">
        <v>49</v>
      </c>
      <c r="M245" s="39" t="s">
        <v>24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>x</v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>x</v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</row>
    <row r="246" spans="1:30" s="689" customFormat="1" ht="15.75" customHeight="1">
      <c r="A246" s="219" t="str">
        <f>IF(B246&lt;&gt;"",IF(AND(B246&gt;=_TM1,B246&lt;=_TM2,OR(TH!L246="1111",TH!M246="1111")),TH!D246,""),"")</f>
        <v/>
      </c>
      <c r="B246" s="36">
        <f t="shared" si="17"/>
        <v>4</v>
      </c>
      <c r="C246" s="37">
        <v>41004</v>
      </c>
      <c r="D246" s="195" t="s">
        <v>404</v>
      </c>
      <c r="E246" s="37">
        <v>41004</v>
      </c>
      <c r="F246" s="40" t="s">
        <v>406</v>
      </c>
      <c r="G246" s="580" t="s">
        <v>401</v>
      </c>
      <c r="H246" s="7" t="s">
        <v>1553</v>
      </c>
      <c r="I246" s="277"/>
      <c r="J246" s="277"/>
      <c r="K246" s="698">
        <v>57158000</v>
      </c>
      <c r="L246" s="39" t="s">
        <v>24</v>
      </c>
      <c r="M246" s="39" t="s">
        <v>311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>x</v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/>
    </row>
    <row r="247" spans="1:30" s="689" customFormat="1" ht="15.75" customHeight="1">
      <c r="A247" s="219" t="str">
        <f>IF(B247&lt;&gt;"",IF(AND(B247&gt;=_TM1,B247&lt;=_TM2,OR(TH!L247="1111",TH!M247="1111")),TH!D247,""),"")</f>
        <v/>
      </c>
      <c r="B247" s="36">
        <f t="shared" si="17"/>
        <v>4</v>
      </c>
      <c r="C247" s="37">
        <v>41004</v>
      </c>
      <c r="D247" s="195" t="s">
        <v>405</v>
      </c>
      <c r="E247" s="37">
        <v>41004</v>
      </c>
      <c r="F247" s="40" t="s">
        <v>550</v>
      </c>
      <c r="G247" s="580" t="s">
        <v>401</v>
      </c>
      <c r="H247" s="7" t="s">
        <v>706</v>
      </c>
      <c r="I247" s="277"/>
      <c r="J247" s="277"/>
      <c r="K247" s="38">
        <v>37500000</v>
      </c>
      <c r="L247" s="39" t="s">
        <v>49</v>
      </c>
      <c r="M247" s="39" t="s">
        <v>24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>x</v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>x</v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</row>
    <row r="248" spans="1:30" s="689" customFormat="1" ht="15.75" customHeight="1">
      <c r="A248" s="219" t="str">
        <f>IF(B248&lt;&gt;"",IF(AND(B248&gt;=_TM1,B248&lt;=_TM2,OR(TH!L248="1111",TH!M248="1111")),TH!D248,""),"")</f>
        <v/>
      </c>
      <c r="B248" s="36">
        <f t="shared" ref="B248:B311" si="18">IF(C248&lt;&gt;"",MONTH(C248),"")</f>
        <v>4</v>
      </c>
      <c r="C248" s="195">
        <v>41008</v>
      </c>
      <c r="D248" s="195" t="s">
        <v>404</v>
      </c>
      <c r="E248" s="195">
        <v>41008</v>
      </c>
      <c r="F248" s="203" t="s">
        <v>406</v>
      </c>
      <c r="G248" s="700" t="s">
        <v>401</v>
      </c>
      <c r="H248" s="207" t="s">
        <v>1176</v>
      </c>
      <c r="I248" s="277"/>
      <c r="J248" s="277"/>
      <c r="K248" s="698">
        <v>9004336</v>
      </c>
      <c r="L248" s="699" t="s">
        <v>24</v>
      </c>
      <c r="M248" s="699" t="s">
        <v>311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>x</v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</row>
    <row r="249" spans="1:30" s="689" customFormat="1" ht="15.75" customHeight="1">
      <c r="A249" s="219" t="str">
        <f>IF(B249&lt;&gt;"",IF(AND(B249&gt;=_TM1,B249&lt;=_TM2,OR(TH!L249="1111",TH!M249="1111")),TH!D249,""),"")</f>
        <v/>
      </c>
      <c r="B249" s="36">
        <f t="shared" si="18"/>
        <v>4</v>
      </c>
      <c r="C249" s="195">
        <v>41009</v>
      </c>
      <c r="D249" s="195" t="s">
        <v>405</v>
      </c>
      <c r="E249" s="195">
        <v>41009</v>
      </c>
      <c r="F249" s="203" t="s">
        <v>550</v>
      </c>
      <c r="G249" s="700" t="s">
        <v>401</v>
      </c>
      <c r="H249" s="7" t="s">
        <v>706</v>
      </c>
      <c r="I249" s="277"/>
      <c r="J249" s="277"/>
      <c r="K249" s="698">
        <v>30000000</v>
      </c>
      <c r="L249" s="699" t="s">
        <v>49</v>
      </c>
      <c r="M249" s="699" t="s">
        <v>24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>x</v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>x</v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B249" s="226"/>
      <c r="AC249" s="226"/>
    </row>
    <row r="250" spans="1:30" s="689" customFormat="1" ht="15.75" customHeight="1">
      <c r="A250" s="219" t="str">
        <f>IF(B250&lt;&gt;"",IF(AND(B250&gt;=_TM1,B250&lt;=_TM2,OR(TH!L250="1111",TH!M250="1111")),TH!D250,""),"")</f>
        <v/>
      </c>
      <c r="B250" s="36">
        <f t="shared" si="18"/>
        <v>4</v>
      </c>
      <c r="C250" s="195">
        <v>41009</v>
      </c>
      <c r="D250" s="195" t="s">
        <v>405</v>
      </c>
      <c r="E250" s="195">
        <v>41009</v>
      </c>
      <c r="F250" s="203" t="s">
        <v>455</v>
      </c>
      <c r="G250" s="700" t="s">
        <v>401</v>
      </c>
      <c r="H250" s="7"/>
      <c r="I250" s="277"/>
      <c r="J250" s="277"/>
      <c r="K250" s="698">
        <v>35000000</v>
      </c>
      <c r="L250" s="699" t="s">
        <v>8</v>
      </c>
      <c r="M250" s="699" t="s">
        <v>24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>x</v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</row>
    <row r="251" spans="1:30" s="689" customFormat="1" ht="15.75" customHeight="1">
      <c r="A251" s="219" t="str">
        <f>IF(B251&lt;&gt;"",IF(AND(B251&gt;=_TM1,B251&lt;=_TM2,OR(TH!L251="1111",TH!M251="1111")),TH!D251,""),"")</f>
        <v/>
      </c>
      <c r="B251" s="36">
        <f t="shared" si="18"/>
        <v>4</v>
      </c>
      <c r="C251" s="195">
        <v>41009</v>
      </c>
      <c r="D251" s="195" t="s">
        <v>405</v>
      </c>
      <c r="E251" s="195">
        <v>41009</v>
      </c>
      <c r="F251" s="203" t="s">
        <v>407</v>
      </c>
      <c r="G251" s="700" t="s">
        <v>401</v>
      </c>
      <c r="H251" s="7"/>
      <c r="I251" s="277"/>
      <c r="J251" s="277"/>
      <c r="K251" s="698">
        <v>10000</v>
      </c>
      <c r="L251" s="699" t="s">
        <v>87</v>
      </c>
      <c r="M251" s="699" t="s">
        <v>24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>x</v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</row>
    <row r="252" spans="1:30" s="689" customFormat="1" ht="15.75" customHeight="1">
      <c r="A252" s="219" t="str">
        <f>IF(B252&lt;&gt;"",IF(AND(B252&gt;=_TM1,B252&lt;=_TM2,OR(TH!L252="1111",TH!M252="1111")),TH!D252,""),"")</f>
        <v/>
      </c>
      <c r="B252" s="36">
        <f t="shared" si="18"/>
        <v>4</v>
      </c>
      <c r="C252" s="37">
        <v>41010</v>
      </c>
      <c r="D252" s="195" t="s">
        <v>404</v>
      </c>
      <c r="E252" s="37">
        <v>41010</v>
      </c>
      <c r="F252" s="203" t="s">
        <v>406</v>
      </c>
      <c r="G252" s="580" t="s">
        <v>401</v>
      </c>
      <c r="H252" s="7" t="s">
        <v>1133</v>
      </c>
      <c r="I252" s="277"/>
      <c r="J252" s="277"/>
      <c r="K252" s="698">
        <v>25000000</v>
      </c>
      <c r="L252" s="39" t="s">
        <v>24</v>
      </c>
      <c r="M252" s="39" t="s">
        <v>311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>x</v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</row>
    <row r="253" spans="1:30" s="689" customFormat="1" ht="15.75" customHeight="1">
      <c r="A253" s="219" t="str">
        <f>IF(B253&lt;&gt;"",IF(AND(B253&gt;=_TM1,B253&lt;=_TM2,OR(TH!L253="1111",TH!M253="1111")),TH!D253,""),"")</f>
        <v/>
      </c>
      <c r="B253" s="36">
        <f t="shared" si="18"/>
        <v>4</v>
      </c>
      <c r="C253" s="37">
        <v>41012</v>
      </c>
      <c r="D253" s="195" t="s">
        <v>405</v>
      </c>
      <c r="E253" s="37">
        <v>41012</v>
      </c>
      <c r="F253" s="203" t="s">
        <v>455</v>
      </c>
      <c r="G253" s="580" t="s">
        <v>401</v>
      </c>
      <c r="H253" s="7"/>
      <c r="I253" s="277"/>
      <c r="J253" s="277"/>
      <c r="K253" s="698">
        <v>26477546</v>
      </c>
      <c r="L253" s="39" t="s">
        <v>8</v>
      </c>
      <c r="M253" s="39" t="s">
        <v>24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>x</v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B253" s="226"/>
      <c r="AC253" s="226"/>
    </row>
    <row r="254" spans="1:30" s="689" customFormat="1" ht="15.75" customHeight="1">
      <c r="A254" s="219" t="str">
        <f>IF(B254&lt;&gt;"",IF(AND(B254&gt;=_TM1,B254&lt;=_TM2,OR(TH!L254="1111",TH!M254="1111")),TH!D254,""),"")</f>
        <v/>
      </c>
      <c r="B254" s="36">
        <f t="shared" si="18"/>
        <v>4</v>
      </c>
      <c r="C254" s="37">
        <v>41012</v>
      </c>
      <c r="D254" s="195" t="s">
        <v>405</v>
      </c>
      <c r="E254" s="37">
        <v>41012</v>
      </c>
      <c r="F254" s="203" t="s">
        <v>407</v>
      </c>
      <c r="G254" s="580" t="s">
        <v>401</v>
      </c>
      <c r="H254" s="7"/>
      <c r="I254" s="277"/>
      <c r="J254" s="277"/>
      <c r="K254" s="698">
        <v>20000</v>
      </c>
      <c r="L254" s="39" t="s">
        <v>87</v>
      </c>
      <c r="M254" s="39" t="s">
        <v>24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>x</v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D254" s="226"/>
    </row>
    <row r="255" spans="1:30" s="689" customFormat="1" ht="15.75" customHeight="1">
      <c r="A255" s="219" t="str">
        <f>IF(B255&lt;&gt;"",IF(AND(B255&gt;=_TM1,B255&lt;=_TM2,OR(TH!L255="1111",TH!M255="1111")),TH!D255,""),"")</f>
        <v/>
      </c>
      <c r="B255" s="36">
        <f t="shared" si="18"/>
        <v>4</v>
      </c>
      <c r="C255" s="37">
        <v>41012</v>
      </c>
      <c r="D255" s="195" t="s">
        <v>513</v>
      </c>
      <c r="E255" s="37">
        <v>41012</v>
      </c>
      <c r="F255" s="203" t="s">
        <v>568</v>
      </c>
      <c r="G255" s="580" t="s">
        <v>707</v>
      </c>
      <c r="H255" s="7" t="s">
        <v>487</v>
      </c>
      <c r="I255" s="277">
        <v>260</v>
      </c>
      <c r="J255" s="277">
        <v>11939</v>
      </c>
      <c r="K255" s="698">
        <v>3104140</v>
      </c>
      <c r="L255" s="39" t="s">
        <v>186</v>
      </c>
      <c r="M255" s="699" t="s">
        <v>8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B255" s="226"/>
      <c r="AC255" s="226" t="str">
        <f>IF(ISNA(VLOOKUP(F255,NXT!$C$18:$C$347,1,0)),x,"")</f>
        <v/>
      </c>
      <c r="AD255" s="226"/>
    </row>
    <row r="256" spans="1:30" s="689" customFormat="1" ht="15.75" customHeight="1">
      <c r="A256" s="219" t="str">
        <f>IF(B256&lt;&gt;"",IF(AND(B256&gt;=_TM1,B256&lt;=_TM2,OR(TH!L256="1111",TH!M256="1111")),TH!D256,""),"")</f>
        <v/>
      </c>
      <c r="B256" s="36">
        <f t="shared" si="18"/>
        <v>4</v>
      </c>
      <c r="C256" s="37">
        <v>41012</v>
      </c>
      <c r="D256" s="195" t="s">
        <v>513</v>
      </c>
      <c r="E256" s="37">
        <v>41012</v>
      </c>
      <c r="F256" s="203" t="s">
        <v>569</v>
      </c>
      <c r="G256" s="580" t="s">
        <v>707</v>
      </c>
      <c r="H256" s="7" t="s">
        <v>487</v>
      </c>
      <c r="I256" s="277">
        <v>340</v>
      </c>
      <c r="J256" s="277">
        <v>13176</v>
      </c>
      <c r="K256" s="698">
        <v>4479840</v>
      </c>
      <c r="L256" s="39" t="s">
        <v>186</v>
      </c>
      <c r="M256" s="699" t="s">
        <v>8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C256" s="226" t="str">
        <f>IF(ISNA(VLOOKUP(F256,NXT!$C$18:$C$347,1,0)),x,"")</f>
        <v/>
      </c>
      <c r="AD256" s="226"/>
    </row>
    <row r="257" spans="1:30" s="689" customFormat="1" ht="15.75" customHeight="1">
      <c r="A257" s="219" t="str">
        <f>IF(B257&lt;&gt;"",IF(AND(B257&gt;=_TM1,B257&lt;=_TM2,OR(TH!L257="1111",TH!M257="1111")),TH!D257,""),"")</f>
        <v/>
      </c>
      <c r="B257" s="36">
        <f t="shared" si="18"/>
        <v>4</v>
      </c>
      <c r="C257" s="37">
        <v>41012</v>
      </c>
      <c r="D257" s="195" t="s">
        <v>513</v>
      </c>
      <c r="E257" s="37">
        <v>41012</v>
      </c>
      <c r="F257" s="203" t="s">
        <v>574</v>
      </c>
      <c r="G257" s="580" t="s">
        <v>707</v>
      </c>
      <c r="H257" s="7" t="s">
        <v>487</v>
      </c>
      <c r="I257" s="277">
        <v>520</v>
      </c>
      <c r="J257" s="277">
        <v>14656</v>
      </c>
      <c r="K257" s="698">
        <v>7621120</v>
      </c>
      <c r="L257" s="39" t="s">
        <v>186</v>
      </c>
      <c r="M257" s="699" t="s">
        <v>8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B257" s="226"/>
      <c r="AC257" s="226" t="str">
        <f>IF(ISNA(VLOOKUP(F257,NXT!$C$18:$C$347,1,0)),x,"")</f>
        <v/>
      </c>
      <c r="AD257" s="226"/>
    </row>
    <row r="258" spans="1:30" s="689" customFormat="1" ht="15.75" customHeight="1">
      <c r="A258" s="219" t="str">
        <f>IF(B258&lt;&gt;"",IF(AND(B258&gt;=_TM1,B258&lt;=_TM2,OR(TH!L258="1111",TH!M258="1111")),TH!D258,""),"")</f>
        <v/>
      </c>
      <c r="B258" s="36">
        <f t="shared" si="18"/>
        <v>4</v>
      </c>
      <c r="C258" s="37">
        <v>41012</v>
      </c>
      <c r="D258" s="195" t="s">
        <v>513</v>
      </c>
      <c r="E258" s="37">
        <v>41012</v>
      </c>
      <c r="F258" s="203" t="s">
        <v>708</v>
      </c>
      <c r="G258" s="580" t="s">
        <v>707</v>
      </c>
      <c r="H258" s="7" t="s">
        <v>487</v>
      </c>
      <c r="I258" s="277">
        <v>100</v>
      </c>
      <c r="J258" s="277">
        <v>15159</v>
      </c>
      <c r="K258" s="38">
        <v>1515900</v>
      </c>
      <c r="L258" s="39" t="s">
        <v>186</v>
      </c>
      <c r="M258" s="699" t="s">
        <v>8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C258" s="226" t="str">
        <f>IF(ISNA(VLOOKUP(F258,NXT!$C$18:$C$347,1,0)),x,"")</f>
        <v/>
      </c>
      <c r="AD258" s="226"/>
    </row>
    <row r="259" spans="1:30" s="689" customFormat="1" ht="15.75" customHeight="1">
      <c r="A259" s="219" t="str">
        <f>IF(B259&lt;&gt;"",IF(AND(B259&gt;=_TM1,B259&lt;=_TM2,OR(TH!L259="1111",TH!M259="1111")),TH!D259,""),"")</f>
        <v/>
      </c>
      <c r="B259" s="36">
        <f t="shared" si="18"/>
        <v>4</v>
      </c>
      <c r="C259" s="195">
        <v>41012</v>
      </c>
      <c r="D259" s="195" t="s">
        <v>513</v>
      </c>
      <c r="E259" s="195">
        <v>41012</v>
      </c>
      <c r="F259" s="203" t="s">
        <v>576</v>
      </c>
      <c r="G259" s="700" t="s">
        <v>707</v>
      </c>
      <c r="H259" s="7" t="s">
        <v>487</v>
      </c>
      <c r="I259" s="277">
        <v>1256</v>
      </c>
      <c r="J259" s="277">
        <v>19916</v>
      </c>
      <c r="K259" s="698">
        <v>25014496</v>
      </c>
      <c r="L259" s="699" t="s">
        <v>186</v>
      </c>
      <c r="M259" s="699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</row>
    <row r="260" spans="1:30" s="689" customFormat="1" ht="15.75" customHeight="1">
      <c r="A260" s="219" t="str">
        <f>IF(B260&lt;&gt;"",IF(AND(B260&gt;=_TM1,B260&lt;=_TM2,OR(TH!L260="1111",TH!M260="1111")),TH!D260,""),"")</f>
        <v/>
      </c>
      <c r="B260" s="36">
        <f t="shared" si="18"/>
        <v>4</v>
      </c>
      <c r="C260" s="195">
        <v>41012</v>
      </c>
      <c r="D260" s="195" t="s">
        <v>513</v>
      </c>
      <c r="E260" s="195">
        <v>41012</v>
      </c>
      <c r="F260" s="203" t="s">
        <v>577</v>
      </c>
      <c r="G260" s="700" t="s">
        <v>707</v>
      </c>
      <c r="H260" s="7" t="s">
        <v>487</v>
      </c>
      <c r="I260" s="277">
        <v>160</v>
      </c>
      <c r="J260" s="277">
        <v>21859</v>
      </c>
      <c r="K260" s="698">
        <v>3497440</v>
      </c>
      <c r="L260" s="699" t="s">
        <v>186</v>
      </c>
      <c r="M260" s="699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C260" s="226" t="str">
        <f>IF(ISNA(VLOOKUP(F260,NXT!$C$18:$C$347,1,0)),x,"")</f>
        <v/>
      </c>
    </row>
    <row r="261" spans="1:30" s="689" customFormat="1" ht="15.75" customHeight="1">
      <c r="A261" s="219" t="str">
        <f>IF(B261&lt;&gt;"",IF(AND(B261&gt;=_TM1,B261&lt;=_TM2,OR(TH!L261="1111",TH!M261="1111")),TH!D261,""),"")</f>
        <v/>
      </c>
      <c r="B261" s="36">
        <f t="shared" si="18"/>
        <v>4</v>
      </c>
      <c r="C261" s="195">
        <v>41012</v>
      </c>
      <c r="D261" s="195" t="s">
        <v>513</v>
      </c>
      <c r="E261" s="195">
        <v>41012</v>
      </c>
      <c r="F261" s="203" t="s">
        <v>578</v>
      </c>
      <c r="G261" s="700" t="s">
        <v>707</v>
      </c>
      <c r="H261" s="7" t="s">
        <v>487</v>
      </c>
      <c r="I261" s="277">
        <v>1200</v>
      </c>
      <c r="J261" s="277">
        <v>19139</v>
      </c>
      <c r="K261" s="698">
        <v>22966800</v>
      </c>
      <c r="L261" s="699" t="s">
        <v>186</v>
      </c>
      <c r="M261" s="699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C261" s="226" t="str">
        <f>IF(ISNA(VLOOKUP(F261,NXT!$C$18:$C$347,1,0)),x,"")</f>
        <v/>
      </c>
    </row>
    <row r="262" spans="1:30" s="689" customFormat="1" ht="15.75" customHeight="1">
      <c r="A262" s="219" t="str">
        <f>IF(B262&lt;&gt;"",IF(AND(B262&gt;=_TM1,B262&lt;=_TM2,OR(TH!L262="1111",TH!M262="1111")),TH!D262,""),"")</f>
        <v/>
      </c>
      <c r="B262" s="36">
        <f t="shared" si="18"/>
        <v>4</v>
      </c>
      <c r="C262" s="37">
        <v>41012</v>
      </c>
      <c r="D262" s="195" t="s">
        <v>513</v>
      </c>
      <c r="E262" s="37">
        <v>41012</v>
      </c>
      <c r="F262" s="40" t="s">
        <v>579</v>
      </c>
      <c r="G262" s="580" t="s">
        <v>707</v>
      </c>
      <c r="H262" s="7" t="s">
        <v>487</v>
      </c>
      <c r="I262" s="277">
        <v>120</v>
      </c>
      <c r="J262" s="277">
        <v>23262</v>
      </c>
      <c r="K262" s="698">
        <v>2791440</v>
      </c>
      <c r="L262" s="39" t="s">
        <v>186</v>
      </c>
      <c r="M262" s="699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226"/>
    </row>
    <row r="263" spans="1:30" s="689" customFormat="1" ht="15.75" customHeight="1">
      <c r="A263" s="219" t="str">
        <f>IF(B263&lt;&gt;"",IF(AND(B263&gt;=_TM1,B263&lt;=_TM2,OR(TH!L263="1111",TH!M263="1111")),TH!D263,""),"")</f>
        <v/>
      </c>
      <c r="B263" s="36">
        <f t="shared" si="18"/>
        <v>4</v>
      </c>
      <c r="C263" s="37">
        <v>41012</v>
      </c>
      <c r="D263" s="195" t="s">
        <v>513</v>
      </c>
      <c r="E263" s="37">
        <v>41012</v>
      </c>
      <c r="F263" s="40" t="s">
        <v>709</v>
      </c>
      <c r="G263" s="580" t="s">
        <v>707</v>
      </c>
      <c r="H263" s="7" t="s">
        <v>487</v>
      </c>
      <c r="I263" s="278">
        <v>130</v>
      </c>
      <c r="J263" s="278">
        <v>23477</v>
      </c>
      <c r="K263" s="698">
        <v>3052010</v>
      </c>
      <c r="L263" s="39" t="s">
        <v>186</v>
      </c>
      <c r="M263" s="699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226"/>
      <c r="AC263" s="226" t="str">
        <f>IF(ISNA(VLOOKUP(F263,NXT!$C$18:$C$347,1,0)),x,"")</f>
        <v/>
      </c>
      <c r="AD263" s="226"/>
    </row>
    <row r="264" spans="1:30" s="689" customFormat="1" ht="15.75" customHeight="1">
      <c r="A264" s="219" t="str">
        <f>IF(B264&lt;&gt;"",IF(AND(B264&gt;=_TM1,B264&lt;=_TM2,OR(TH!L264="1111",TH!M264="1111")),TH!D264,""),"")</f>
        <v/>
      </c>
      <c r="B264" s="36">
        <f t="shared" si="18"/>
        <v>4</v>
      </c>
      <c r="C264" s="37">
        <v>41012</v>
      </c>
      <c r="D264" s="195" t="s">
        <v>513</v>
      </c>
      <c r="E264" s="37">
        <v>41012</v>
      </c>
      <c r="F264" s="40" t="s">
        <v>573</v>
      </c>
      <c r="G264" s="580" t="s">
        <v>707</v>
      </c>
      <c r="H264" s="7" t="s">
        <v>487</v>
      </c>
      <c r="I264" s="277"/>
      <c r="J264" s="277"/>
      <c r="K264" s="698">
        <v>7404319</v>
      </c>
      <c r="L264" s="39" t="s">
        <v>9</v>
      </c>
      <c r="M264" s="699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/>
      <c r="AD264" s="226"/>
    </row>
    <row r="265" spans="1:30" s="689" customFormat="1" ht="15.75" customHeight="1">
      <c r="A265" s="219" t="str">
        <f>IF(B265&lt;&gt;"",IF(AND(B265&gt;=_TM1,B265&lt;=_TM2,OR(TH!L265="1111",TH!M265="1111")),TH!D265,""),"")</f>
        <v/>
      </c>
      <c r="B265" s="36">
        <f t="shared" si="18"/>
        <v>4</v>
      </c>
      <c r="C265" s="37">
        <v>41012</v>
      </c>
      <c r="D265" s="195" t="s">
        <v>514</v>
      </c>
      <c r="E265" s="37">
        <v>41012</v>
      </c>
      <c r="F265" s="40" t="s">
        <v>710</v>
      </c>
      <c r="G265" s="580" t="s">
        <v>711</v>
      </c>
      <c r="H265" s="7" t="s">
        <v>487</v>
      </c>
      <c r="I265" s="278">
        <v>100</v>
      </c>
      <c r="J265" s="278">
        <v>12814</v>
      </c>
      <c r="K265" s="698">
        <v>1281400</v>
      </c>
      <c r="L265" s="39" t="s">
        <v>186</v>
      </c>
      <c r="M265" s="699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B265" s="226"/>
      <c r="AC265" s="226" t="str">
        <f>IF(ISNA(VLOOKUP(F265,NXT!$C$18:$C$347,1,0)),x,"")</f>
        <v/>
      </c>
      <c r="AD265" s="226"/>
    </row>
    <row r="266" spans="1:30" s="689" customFormat="1" ht="15.75" customHeight="1">
      <c r="A266" s="219" t="str">
        <f>IF(B266&lt;&gt;"",IF(AND(B266&gt;=_TM1,B266&lt;=_TM2,OR(TH!L266="1111",TH!M266="1111")),TH!D266,""),"")</f>
        <v/>
      </c>
      <c r="B266" s="36">
        <f t="shared" si="18"/>
        <v>4</v>
      </c>
      <c r="C266" s="37">
        <v>41012</v>
      </c>
      <c r="D266" s="195" t="s">
        <v>514</v>
      </c>
      <c r="E266" s="37">
        <v>41012</v>
      </c>
      <c r="F266" s="40" t="s">
        <v>712</v>
      </c>
      <c r="G266" s="580" t="s">
        <v>711</v>
      </c>
      <c r="H266" s="7" t="s">
        <v>487</v>
      </c>
      <c r="I266" s="277">
        <v>100</v>
      </c>
      <c r="J266" s="277">
        <v>13782</v>
      </c>
      <c r="K266" s="698">
        <v>1378200</v>
      </c>
      <c r="L266" s="39" t="s">
        <v>186</v>
      </c>
      <c r="M266" s="699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689" customFormat="1" ht="15.75" customHeight="1">
      <c r="A267" s="219" t="str">
        <f>IF(B267&lt;&gt;"",IF(AND(B267&gt;=_TM1,B267&lt;=_TM2,OR(TH!L267="1111",TH!M267="1111")),TH!D267,""),"")</f>
        <v/>
      </c>
      <c r="B267" s="36">
        <f t="shared" si="18"/>
        <v>4</v>
      </c>
      <c r="C267" s="37">
        <v>41012</v>
      </c>
      <c r="D267" s="195" t="s">
        <v>514</v>
      </c>
      <c r="E267" s="37">
        <v>41012</v>
      </c>
      <c r="F267" s="40" t="s">
        <v>713</v>
      </c>
      <c r="G267" s="580" t="s">
        <v>711</v>
      </c>
      <c r="H267" s="7" t="s">
        <v>487</v>
      </c>
      <c r="I267" s="278">
        <v>250</v>
      </c>
      <c r="J267" s="278">
        <v>11480</v>
      </c>
      <c r="K267" s="698">
        <v>2870000</v>
      </c>
      <c r="L267" s="39" t="s">
        <v>186</v>
      </c>
      <c r="M267" s="699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B267" s="226"/>
      <c r="AC267" s="226" t="str">
        <f>IF(ISNA(VLOOKUP(F267,NXT!$C$18:$C$347,1,0)),x,"")</f>
        <v/>
      </c>
      <c r="AD267" s="226"/>
    </row>
    <row r="268" spans="1:30" s="689" customFormat="1" ht="15.75" customHeight="1">
      <c r="A268" s="219" t="str">
        <f>IF(B268&lt;&gt;"",IF(AND(B268&gt;=_TM1,B268&lt;=_TM2,OR(TH!L268="1111",TH!M268="1111")),TH!D268,""),"")</f>
        <v/>
      </c>
      <c r="B268" s="36">
        <f t="shared" si="18"/>
        <v>4</v>
      </c>
      <c r="C268" s="37">
        <v>41012</v>
      </c>
      <c r="D268" s="195" t="s">
        <v>514</v>
      </c>
      <c r="E268" s="37">
        <v>41012</v>
      </c>
      <c r="F268" s="40" t="s">
        <v>714</v>
      </c>
      <c r="G268" s="580" t="s">
        <v>711</v>
      </c>
      <c r="H268" s="7" t="s">
        <v>487</v>
      </c>
      <c r="I268" s="277">
        <v>76</v>
      </c>
      <c r="J268" s="277">
        <v>28987</v>
      </c>
      <c r="K268" s="698">
        <v>2203012</v>
      </c>
      <c r="L268" s="39" t="s">
        <v>186</v>
      </c>
      <c r="M268" s="699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689" customFormat="1" ht="15.75" customHeight="1">
      <c r="A269" s="219" t="str">
        <f>IF(B269&lt;&gt;"",IF(AND(B269&gt;=_TM1,B269&lt;=_TM2,OR(TH!L269="1111",TH!M269="1111")),TH!D269,""),"")</f>
        <v/>
      </c>
      <c r="B269" s="36">
        <f t="shared" si="18"/>
        <v>4</v>
      </c>
      <c r="C269" s="37">
        <v>41012</v>
      </c>
      <c r="D269" s="195" t="s">
        <v>514</v>
      </c>
      <c r="E269" s="37">
        <v>41012</v>
      </c>
      <c r="F269" s="848" t="s">
        <v>715</v>
      </c>
      <c r="G269" s="580" t="s">
        <v>711</v>
      </c>
      <c r="H269" s="7" t="s">
        <v>487</v>
      </c>
      <c r="I269" s="278">
        <v>320</v>
      </c>
      <c r="J269" s="278">
        <v>11635</v>
      </c>
      <c r="K269" s="698">
        <v>3723200</v>
      </c>
      <c r="L269" s="39" t="s">
        <v>186</v>
      </c>
      <c r="M269" s="699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B269" s="226"/>
      <c r="AC269" s="226" t="str">
        <f>IF(ISNA(VLOOKUP(F269,NXT!$C$18:$C$347,1,0)),x,"")</f>
        <v/>
      </c>
      <c r="AD269" s="226"/>
    </row>
    <row r="270" spans="1:30" s="689" customFormat="1" ht="15.75" customHeight="1">
      <c r="A270" s="219" t="str">
        <f>IF(B270&lt;&gt;"",IF(AND(B270&gt;=_TM1,B270&lt;=_TM2,OR(TH!L270="1111",TH!M270="1111")),TH!D270,""),"")</f>
        <v/>
      </c>
      <c r="B270" s="36">
        <f t="shared" si="18"/>
        <v>4</v>
      </c>
      <c r="C270" s="37">
        <v>41012</v>
      </c>
      <c r="D270" s="195" t="s">
        <v>514</v>
      </c>
      <c r="E270" s="37">
        <v>41012</v>
      </c>
      <c r="F270" s="40" t="s">
        <v>716</v>
      </c>
      <c r="G270" s="580" t="s">
        <v>711</v>
      </c>
      <c r="H270" s="7" t="s">
        <v>487</v>
      </c>
      <c r="I270" s="277">
        <v>500</v>
      </c>
      <c r="J270" s="277">
        <v>15913</v>
      </c>
      <c r="K270" s="38">
        <v>7956500</v>
      </c>
      <c r="L270" s="39" t="s">
        <v>186</v>
      </c>
      <c r="M270" s="699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C270" s="226" t="str">
        <f>IF(ISNA(VLOOKUP(F270,NXT!$C$18:$C$347,1,0)),x,"")</f>
        <v/>
      </c>
      <c r="AD270" s="226"/>
    </row>
    <row r="271" spans="1:30" s="689" customFormat="1" ht="15.75" customHeight="1">
      <c r="A271" s="219" t="str">
        <f>IF(B271&lt;&gt;"",IF(AND(B271&gt;=_TM1,B271&lt;=_TM2,OR(TH!L271="1111",TH!M271="1111")),TH!D271,""),"")</f>
        <v/>
      </c>
      <c r="B271" s="36">
        <f t="shared" si="18"/>
        <v>4</v>
      </c>
      <c r="C271" s="37">
        <v>41012</v>
      </c>
      <c r="D271" s="195" t="s">
        <v>514</v>
      </c>
      <c r="E271" s="37">
        <v>41012</v>
      </c>
      <c r="F271" s="203" t="s">
        <v>717</v>
      </c>
      <c r="G271" s="580" t="s">
        <v>711</v>
      </c>
      <c r="H271" s="7" t="s">
        <v>487</v>
      </c>
      <c r="I271" s="277">
        <v>50</v>
      </c>
      <c r="J271" s="277">
        <v>17306</v>
      </c>
      <c r="K271" s="698">
        <v>865300</v>
      </c>
      <c r="L271" s="39" t="s">
        <v>186</v>
      </c>
      <c r="M271" s="699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689" customFormat="1" ht="15.75" customHeight="1">
      <c r="A272" s="219" t="str">
        <f>IF(B272&lt;&gt;"",IF(AND(B272&gt;=_TM1,B272&lt;=_TM2,OR(TH!L272="1111",TH!M272="1111")),TH!D272,""),"")</f>
        <v/>
      </c>
      <c r="B272" s="36">
        <f t="shared" si="18"/>
        <v>4</v>
      </c>
      <c r="C272" s="37">
        <v>41012</v>
      </c>
      <c r="D272" s="195" t="s">
        <v>514</v>
      </c>
      <c r="E272" s="37">
        <v>41012</v>
      </c>
      <c r="F272" s="203" t="s">
        <v>718</v>
      </c>
      <c r="G272" s="580" t="s">
        <v>711</v>
      </c>
      <c r="H272" s="7" t="s">
        <v>487</v>
      </c>
      <c r="I272" s="277">
        <v>350</v>
      </c>
      <c r="J272" s="277">
        <v>18559</v>
      </c>
      <c r="K272" s="698">
        <v>6495650</v>
      </c>
      <c r="L272" s="39" t="s">
        <v>186</v>
      </c>
      <c r="M272" s="699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C272" s="226" t="str">
        <f>IF(ISNA(VLOOKUP(F272,NXT!$C$18:$C$347,1,0)),x,"")</f>
        <v/>
      </c>
      <c r="AD272" s="226"/>
    </row>
    <row r="273" spans="1:30" s="689" customFormat="1" ht="15.75" customHeight="1">
      <c r="A273" s="219" t="str">
        <f>IF(B273&lt;&gt;"",IF(AND(B273&gt;=_TM1,B273&lt;=_TM2,OR(TH!L273="1111",TH!M273="1111")),TH!D273,""),"")</f>
        <v/>
      </c>
      <c r="B273" s="36">
        <f t="shared" si="18"/>
        <v>4</v>
      </c>
      <c r="C273" s="37">
        <v>41012</v>
      </c>
      <c r="D273" s="195" t="s">
        <v>514</v>
      </c>
      <c r="E273" s="37">
        <v>41012</v>
      </c>
      <c r="F273" s="203" t="s">
        <v>573</v>
      </c>
      <c r="G273" s="580" t="s">
        <v>711</v>
      </c>
      <c r="H273" s="7" t="s">
        <v>487</v>
      </c>
      <c r="I273" s="277"/>
      <c r="J273" s="277"/>
      <c r="K273" s="698">
        <v>2677326</v>
      </c>
      <c r="L273" s="39" t="s">
        <v>9</v>
      </c>
      <c r="M273" s="699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B273" s="226"/>
      <c r="AC273" s="226"/>
      <c r="AD273" s="226"/>
    </row>
    <row r="274" spans="1:30" s="689" customFormat="1" ht="15.75" customHeight="1">
      <c r="A274" s="219" t="str">
        <f>IF(B274&lt;&gt;"",IF(AND(B274&gt;=_TM1,B274&lt;=_TM2,OR(TH!L274="1111",TH!M274="1111")),TH!D274,""),"")</f>
        <v/>
      </c>
      <c r="B274" s="36">
        <f t="shared" si="18"/>
        <v>4</v>
      </c>
      <c r="C274" s="37">
        <v>41013</v>
      </c>
      <c r="D274" s="195" t="s">
        <v>515</v>
      </c>
      <c r="E274" s="37">
        <v>41013</v>
      </c>
      <c r="F274" s="203" t="s">
        <v>719</v>
      </c>
      <c r="G274" s="580" t="s">
        <v>720</v>
      </c>
      <c r="H274" s="7" t="s">
        <v>487</v>
      </c>
      <c r="I274" s="277">
        <v>350</v>
      </c>
      <c r="J274" s="277">
        <v>9353</v>
      </c>
      <c r="K274" s="38">
        <v>3273550</v>
      </c>
      <c r="L274" s="39" t="s">
        <v>186</v>
      </c>
      <c r="M274" s="699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  <c r="AD274" s="226"/>
    </row>
    <row r="275" spans="1:30" s="689" customFormat="1" ht="15.75" customHeight="1">
      <c r="A275" s="219" t="str">
        <f>IF(B275&lt;&gt;"",IF(AND(B275&gt;=_TM1,B275&lt;=_TM2,OR(TH!L275="1111",TH!M275="1111")),TH!D275,""),"")</f>
        <v/>
      </c>
      <c r="B275" s="36">
        <f t="shared" si="18"/>
        <v>4</v>
      </c>
      <c r="C275" s="37">
        <v>41013</v>
      </c>
      <c r="D275" s="195" t="s">
        <v>515</v>
      </c>
      <c r="E275" s="37">
        <v>41013</v>
      </c>
      <c r="F275" s="203" t="s">
        <v>719</v>
      </c>
      <c r="G275" s="580" t="s">
        <v>720</v>
      </c>
      <c r="H275" s="7" t="s">
        <v>487</v>
      </c>
      <c r="I275" s="277">
        <v>170</v>
      </c>
      <c r="J275" s="277">
        <v>8355</v>
      </c>
      <c r="K275" s="698">
        <v>1420350</v>
      </c>
      <c r="L275" s="39" t="s">
        <v>186</v>
      </c>
      <c r="M275" s="699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B275" s="226"/>
      <c r="AC275" s="226" t="str">
        <f>IF(ISNA(VLOOKUP(F275,NXT!$C$18:$C$347,1,0)),x,"")</f>
        <v/>
      </c>
      <c r="AD275" s="226"/>
    </row>
    <row r="276" spans="1:30" s="689" customFormat="1" ht="15.75" customHeight="1">
      <c r="A276" s="219" t="str">
        <f>IF(B276&lt;&gt;"",IF(AND(B276&gt;=_TM1,B276&lt;=_TM2,OR(TH!L276="1111",TH!M276="1111")),TH!D276,""),"")</f>
        <v/>
      </c>
      <c r="B276" s="36">
        <f t="shared" si="18"/>
        <v>4</v>
      </c>
      <c r="C276" s="37">
        <v>41013</v>
      </c>
      <c r="D276" s="195" t="s">
        <v>515</v>
      </c>
      <c r="E276" s="37">
        <v>41013</v>
      </c>
      <c r="F276" s="203" t="s">
        <v>721</v>
      </c>
      <c r="G276" s="580" t="s">
        <v>720</v>
      </c>
      <c r="H276" s="7" t="s">
        <v>487</v>
      </c>
      <c r="I276" s="278">
        <v>150</v>
      </c>
      <c r="J276" s="278">
        <v>11176</v>
      </c>
      <c r="K276" s="698">
        <v>1676400</v>
      </c>
      <c r="L276" s="39" t="s">
        <v>186</v>
      </c>
      <c r="M276" s="699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  <c r="AB276" s="226"/>
      <c r="AC276" s="226" t="str">
        <f>IF(ISNA(VLOOKUP(F276,NXT!$C$18:$C$347,1,0)),x,"")</f>
        <v/>
      </c>
      <c r="AD276" s="226"/>
    </row>
    <row r="277" spans="1:30" s="689" customFormat="1" ht="15.75" customHeight="1">
      <c r="A277" s="219" t="str">
        <f>IF(B277&lt;&gt;"",IF(AND(B277&gt;=_TM1,B277&lt;=_TM2,OR(TH!L277="1111",TH!M277="1111")),TH!D277,""),"")</f>
        <v/>
      </c>
      <c r="B277" s="36">
        <f t="shared" si="18"/>
        <v>4</v>
      </c>
      <c r="C277" s="37">
        <v>41013</v>
      </c>
      <c r="D277" s="195" t="s">
        <v>515</v>
      </c>
      <c r="E277" s="37">
        <v>41013</v>
      </c>
      <c r="F277" s="203" t="s">
        <v>722</v>
      </c>
      <c r="G277" s="580" t="s">
        <v>720</v>
      </c>
      <c r="H277" s="7" t="s">
        <v>487</v>
      </c>
      <c r="I277" s="277">
        <v>200</v>
      </c>
      <c r="J277" s="277">
        <v>12563</v>
      </c>
      <c r="K277" s="698">
        <v>2512600</v>
      </c>
      <c r="L277" s="39" t="s">
        <v>186</v>
      </c>
      <c r="M277" s="699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B277" s="226"/>
      <c r="AC277" s="226" t="str">
        <f>IF(ISNA(VLOOKUP(F277,NXT!$C$18:$C$347,1,0)),x,"")</f>
        <v/>
      </c>
      <c r="AD277" s="226"/>
    </row>
    <row r="278" spans="1:30" s="689" customFormat="1" ht="15.75" customHeight="1">
      <c r="A278" s="219" t="str">
        <f>IF(B278&lt;&gt;"",IF(AND(B278&gt;=_TM1,B278&lt;=_TM2,OR(TH!L278="1111",TH!M278="1111")),TH!D278,""),"")</f>
        <v/>
      </c>
      <c r="B278" s="36">
        <f t="shared" si="18"/>
        <v>4</v>
      </c>
      <c r="C278" s="37">
        <v>41013</v>
      </c>
      <c r="D278" s="195" t="s">
        <v>515</v>
      </c>
      <c r="E278" s="37">
        <v>41013</v>
      </c>
      <c r="F278" s="203" t="s">
        <v>723</v>
      </c>
      <c r="G278" s="580" t="s">
        <v>720</v>
      </c>
      <c r="H278" s="7" t="s">
        <v>487</v>
      </c>
      <c r="I278" s="277">
        <v>100</v>
      </c>
      <c r="J278" s="277">
        <v>15544</v>
      </c>
      <c r="K278" s="698">
        <v>1554400</v>
      </c>
      <c r="L278" s="39" t="s">
        <v>186</v>
      </c>
      <c r="M278" s="699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B278" s="226"/>
      <c r="AC278" s="226" t="str">
        <f>IF(ISNA(VLOOKUP(F278,NXT!$C$18:$C$347,1,0)),x,"")</f>
        <v/>
      </c>
      <c r="AD278" s="226"/>
    </row>
    <row r="279" spans="1:30" s="689" customFormat="1" ht="15.75" customHeight="1">
      <c r="A279" s="219" t="str">
        <f>IF(B279&lt;&gt;"",IF(AND(B279&gt;=_TM1,B279&lt;=_TM2,OR(TH!L279="1111",TH!M279="1111")),TH!D279,""),"")</f>
        <v/>
      </c>
      <c r="B279" s="36">
        <f t="shared" si="18"/>
        <v>4</v>
      </c>
      <c r="C279" s="37">
        <v>41013</v>
      </c>
      <c r="D279" s="195" t="s">
        <v>515</v>
      </c>
      <c r="E279" s="37">
        <v>41013</v>
      </c>
      <c r="F279" s="203" t="s">
        <v>724</v>
      </c>
      <c r="G279" s="580" t="s">
        <v>720</v>
      </c>
      <c r="H279" s="7" t="s">
        <v>487</v>
      </c>
      <c r="I279" s="277">
        <v>300</v>
      </c>
      <c r="J279" s="277">
        <v>14375</v>
      </c>
      <c r="K279" s="698">
        <v>4312500</v>
      </c>
      <c r="L279" s="39" t="s">
        <v>186</v>
      </c>
      <c r="M279" s="699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B279" s="226"/>
      <c r="AC279" s="226" t="str">
        <f>IF(ISNA(VLOOKUP(F279,NXT!$C$18:$C$347,1,0)),x,"")</f>
        <v/>
      </c>
      <c r="AD279" s="226"/>
    </row>
    <row r="280" spans="1:30" s="689" customFormat="1" ht="15.75" customHeight="1">
      <c r="A280" s="219" t="str">
        <f>IF(B280&lt;&gt;"",IF(AND(B280&gt;=_TM1,B280&lt;=_TM2,OR(TH!L280="1111",TH!M280="1111")),TH!D280,""),"")</f>
        <v/>
      </c>
      <c r="B280" s="36">
        <f t="shared" si="18"/>
        <v>4</v>
      </c>
      <c r="C280" s="37">
        <v>41013</v>
      </c>
      <c r="D280" s="195" t="s">
        <v>515</v>
      </c>
      <c r="E280" s="37">
        <v>41013</v>
      </c>
      <c r="F280" s="203" t="s">
        <v>725</v>
      </c>
      <c r="G280" s="580" t="s">
        <v>720</v>
      </c>
      <c r="H280" s="7" t="s">
        <v>487</v>
      </c>
      <c r="I280" s="277">
        <v>500</v>
      </c>
      <c r="J280" s="277">
        <v>19513</v>
      </c>
      <c r="K280" s="38">
        <v>9756500</v>
      </c>
      <c r="L280" s="39" t="s">
        <v>186</v>
      </c>
      <c r="M280" s="699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B280" s="226"/>
      <c r="AC280" s="226" t="str">
        <f>IF(ISNA(VLOOKUP(F280,NXT!$C$18:$C$347,1,0)),x,"")</f>
        <v/>
      </c>
      <c r="AD280" s="226"/>
    </row>
    <row r="281" spans="1:30" s="689" customFormat="1" ht="15.75" customHeight="1">
      <c r="A281" s="219" t="str">
        <f>IF(B281&lt;&gt;"",IF(AND(B281&gt;=_TM1,B281&lt;=_TM2,OR(TH!L281="1111",TH!M281="1111")),TH!D281,""),"")</f>
        <v/>
      </c>
      <c r="B281" s="36">
        <f t="shared" si="18"/>
        <v>4</v>
      </c>
      <c r="C281" s="195">
        <v>41013</v>
      </c>
      <c r="D281" s="195" t="s">
        <v>515</v>
      </c>
      <c r="E281" s="195">
        <v>41013</v>
      </c>
      <c r="F281" s="203" t="s">
        <v>726</v>
      </c>
      <c r="G281" s="700" t="s">
        <v>720</v>
      </c>
      <c r="H281" s="7" t="s">
        <v>487</v>
      </c>
      <c r="I281" s="277">
        <v>1000</v>
      </c>
      <c r="J281" s="277">
        <v>22846</v>
      </c>
      <c r="K281" s="698">
        <v>22846000</v>
      </c>
      <c r="L281" s="699" t="s">
        <v>186</v>
      </c>
      <c r="M281" s="699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</row>
    <row r="282" spans="1:30" s="689" customFormat="1" ht="15.75" customHeight="1">
      <c r="A282" s="219" t="str">
        <f>IF(B282&lt;&gt;"",IF(AND(B282&gt;=_TM1,B282&lt;=_TM2,OR(TH!L282="1111",TH!M282="1111")),TH!D282,""),"")</f>
        <v/>
      </c>
      <c r="B282" s="36">
        <f t="shared" si="18"/>
        <v>4</v>
      </c>
      <c r="C282" s="37">
        <v>41013</v>
      </c>
      <c r="D282" s="195" t="s">
        <v>515</v>
      </c>
      <c r="E282" s="37">
        <v>41013</v>
      </c>
      <c r="F282" s="40" t="s">
        <v>573</v>
      </c>
      <c r="G282" s="580" t="s">
        <v>720</v>
      </c>
      <c r="H282" s="7" t="s">
        <v>487</v>
      </c>
      <c r="I282" s="278"/>
      <c r="J282" s="278"/>
      <c r="K282" s="698">
        <v>4735230</v>
      </c>
      <c r="L282" s="39" t="s">
        <v>9</v>
      </c>
      <c r="M282" s="699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B282" s="226"/>
      <c r="AC282" s="226"/>
      <c r="AD282" s="226"/>
    </row>
    <row r="283" spans="1:30" s="689" customFormat="1" ht="15.75" customHeight="1">
      <c r="A283" s="219" t="str">
        <f>IF(B283&lt;&gt;"",IF(AND(B283&gt;=_TM1,B283&lt;=_TM2,OR(TH!L283="1111",TH!M283="1111")),TH!D283,""),"")</f>
        <v/>
      </c>
      <c r="B283" s="36">
        <f t="shared" si="18"/>
        <v>4</v>
      </c>
      <c r="C283" s="37">
        <v>41016</v>
      </c>
      <c r="D283" s="195" t="s">
        <v>404</v>
      </c>
      <c r="E283" s="37">
        <v>41016</v>
      </c>
      <c r="F283" s="40" t="s">
        <v>406</v>
      </c>
      <c r="G283" s="580" t="s">
        <v>401</v>
      </c>
      <c r="H283" s="45" t="s">
        <v>1134</v>
      </c>
      <c r="I283" s="278"/>
      <c r="J283" s="278"/>
      <c r="K283" s="698">
        <v>4347750</v>
      </c>
      <c r="L283" s="39" t="s">
        <v>24</v>
      </c>
      <c r="M283" s="39" t="s">
        <v>311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>x</v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</row>
    <row r="284" spans="1:30" s="689" customFormat="1" ht="15.75" customHeight="1">
      <c r="A284" s="219" t="str">
        <f>IF(B284&lt;&gt;"",IF(AND(B284&gt;=_TM1,B284&lt;=_TM2,OR(TH!L284="1111",TH!M284="1111")),TH!D284,""),"")</f>
        <v/>
      </c>
      <c r="B284" s="36">
        <f t="shared" si="18"/>
        <v>4</v>
      </c>
      <c r="C284" s="37">
        <v>41016</v>
      </c>
      <c r="D284" s="195" t="s">
        <v>465</v>
      </c>
      <c r="E284" s="37">
        <v>41016</v>
      </c>
      <c r="F284" s="40" t="s">
        <v>727</v>
      </c>
      <c r="G284" s="580" t="s">
        <v>728</v>
      </c>
      <c r="H284" s="45" t="s">
        <v>456</v>
      </c>
      <c r="I284" s="278"/>
      <c r="J284" s="278"/>
      <c r="K284" s="698">
        <v>2680000</v>
      </c>
      <c r="L284" s="39" t="s">
        <v>194</v>
      </c>
      <c r="M284" s="39" t="s">
        <v>49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>x</v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B284" s="226"/>
      <c r="AC284" s="226"/>
      <c r="AD284" s="226"/>
    </row>
    <row r="285" spans="1:30" s="689" customFormat="1" ht="15.75" customHeight="1">
      <c r="A285" s="219" t="str">
        <f>IF(B285&lt;&gt;"",IF(AND(B285&gt;=_TM1,B285&lt;=_TM2,OR(TH!L285="1111",TH!M285="1111")),TH!D285,""),"")</f>
        <v/>
      </c>
      <c r="B285" s="36">
        <f t="shared" si="18"/>
        <v>4</v>
      </c>
      <c r="C285" s="37">
        <v>41016</v>
      </c>
      <c r="D285" s="195" t="s">
        <v>465</v>
      </c>
      <c r="E285" s="37">
        <v>41016</v>
      </c>
      <c r="F285" s="40" t="s">
        <v>413</v>
      </c>
      <c r="G285" s="580" t="s">
        <v>728</v>
      </c>
      <c r="H285" s="45" t="s">
        <v>456</v>
      </c>
      <c r="I285" s="277"/>
      <c r="J285" s="277"/>
      <c r="K285" s="698">
        <v>268000</v>
      </c>
      <c r="L285" s="39" t="s">
        <v>9</v>
      </c>
      <c r="M285" s="39" t="s">
        <v>49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>x</v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226"/>
    </row>
    <row r="286" spans="1:30" s="689" customFormat="1" ht="15.75" customHeight="1">
      <c r="A286" s="219" t="str">
        <f>IF(B286&lt;&gt;"",IF(AND(B286&gt;=_TM1,B286&lt;=_TM2,OR(TH!L286="1111",TH!M286="1111")),TH!D286,""),"")</f>
        <v/>
      </c>
      <c r="B286" s="36">
        <f t="shared" si="18"/>
        <v>4</v>
      </c>
      <c r="C286" s="37">
        <v>41017</v>
      </c>
      <c r="D286" s="195" t="s">
        <v>466</v>
      </c>
      <c r="E286" s="37">
        <v>41017</v>
      </c>
      <c r="F286" s="40" t="s">
        <v>598</v>
      </c>
      <c r="G286" s="580" t="s">
        <v>729</v>
      </c>
      <c r="H286" s="45" t="s">
        <v>456</v>
      </c>
      <c r="I286" s="277"/>
      <c r="J286" s="277"/>
      <c r="K286" s="698">
        <v>1560000</v>
      </c>
      <c r="L286" s="39" t="s">
        <v>194</v>
      </c>
      <c r="M286" s="39" t="s">
        <v>49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>x</v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B286" s="226"/>
      <c r="AC286" s="226"/>
      <c r="AD286" s="226"/>
    </row>
    <row r="287" spans="1:30" s="689" customFormat="1" ht="15.75" customHeight="1">
      <c r="A287" s="219" t="str">
        <f>IF(B287&lt;&gt;"",IF(AND(B287&gt;=_TM1,B287&lt;=_TM2,OR(TH!L287="1111",TH!M287="1111")),TH!D287,""),"")</f>
        <v/>
      </c>
      <c r="B287" s="36">
        <f t="shared" si="18"/>
        <v>4</v>
      </c>
      <c r="C287" s="37">
        <v>41017</v>
      </c>
      <c r="D287" s="195" t="s">
        <v>466</v>
      </c>
      <c r="E287" s="37">
        <v>41017</v>
      </c>
      <c r="F287" s="40" t="s">
        <v>413</v>
      </c>
      <c r="G287" s="580" t="s">
        <v>729</v>
      </c>
      <c r="H287" s="45" t="s">
        <v>456</v>
      </c>
      <c r="I287" s="277"/>
      <c r="J287" s="277"/>
      <c r="K287" s="698">
        <v>156000</v>
      </c>
      <c r="L287" s="39" t="s">
        <v>9</v>
      </c>
      <c r="M287" s="39" t="s">
        <v>49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>x</v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D287" s="226"/>
    </row>
    <row r="288" spans="1:30" s="689" customFormat="1" ht="15.75" customHeight="1">
      <c r="A288" s="219" t="str">
        <f>IF(B288&lt;&gt;"",IF(AND(B288&gt;=_TM1,B288&lt;=_TM2,OR(TH!L288="1111",TH!M288="1111")),TH!D288,""),"")</f>
        <v/>
      </c>
      <c r="B288" s="36">
        <f t="shared" si="18"/>
        <v>4</v>
      </c>
      <c r="C288" s="37">
        <v>41022</v>
      </c>
      <c r="D288" s="195" t="s">
        <v>467</v>
      </c>
      <c r="E288" s="37">
        <v>41022</v>
      </c>
      <c r="F288" s="40" t="s">
        <v>730</v>
      </c>
      <c r="G288" s="580" t="s">
        <v>731</v>
      </c>
      <c r="H288" s="45" t="s">
        <v>651</v>
      </c>
      <c r="I288" s="277"/>
      <c r="J288" s="277"/>
      <c r="K288" s="698">
        <v>1040000</v>
      </c>
      <c r="L288" s="39" t="s">
        <v>194</v>
      </c>
      <c r="M288" s="39" t="s">
        <v>49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>x</v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B288" s="226"/>
      <c r="AC288" s="226"/>
      <c r="AD288" s="226"/>
    </row>
    <row r="289" spans="1:30" s="689" customFormat="1" ht="15.75" customHeight="1">
      <c r="A289" s="219" t="str">
        <f>IF(B289&lt;&gt;"",IF(AND(B289&gt;=_TM1,B289&lt;=_TM2,OR(TH!L289="1111",TH!M289="1111")),TH!D289,""),"")</f>
        <v/>
      </c>
      <c r="B289" s="36">
        <f t="shared" si="18"/>
        <v>4</v>
      </c>
      <c r="C289" s="37">
        <v>41022</v>
      </c>
      <c r="D289" s="195" t="s">
        <v>467</v>
      </c>
      <c r="E289" s="37">
        <v>41022</v>
      </c>
      <c r="F289" s="40" t="s">
        <v>413</v>
      </c>
      <c r="G289" s="580" t="s">
        <v>731</v>
      </c>
      <c r="H289" s="45" t="s">
        <v>651</v>
      </c>
      <c r="I289" s="278"/>
      <c r="J289" s="278"/>
      <c r="K289" s="698">
        <v>104000</v>
      </c>
      <c r="L289" s="39" t="s">
        <v>9</v>
      </c>
      <c r="M289" s="39" t="s">
        <v>49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>x</v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D289" s="226"/>
    </row>
    <row r="290" spans="1:30" s="689" customFormat="1" ht="15.75" customHeight="1">
      <c r="A290" s="219" t="str">
        <f>IF(B290&lt;&gt;"",IF(AND(B290&gt;=_TM1,B290&lt;=_TM2,OR(TH!L290="1111",TH!M290="1111")),TH!D290,""),"")</f>
        <v/>
      </c>
      <c r="B290" s="36">
        <f t="shared" si="18"/>
        <v>4</v>
      </c>
      <c r="C290" s="37">
        <v>41024</v>
      </c>
      <c r="D290" s="195" t="s">
        <v>404</v>
      </c>
      <c r="E290" s="37">
        <v>41024</v>
      </c>
      <c r="F290" s="40" t="s">
        <v>453</v>
      </c>
      <c r="G290" s="580" t="s">
        <v>401</v>
      </c>
      <c r="H290" s="45"/>
      <c r="I290" s="277"/>
      <c r="J290" s="277"/>
      <c r="K290" s="698">
        <v>53677</v>
      </c>
      <c r="L290" s="39" t="s">
        <v>24</v>
      </c>
      <c r="M290" s="39" t="s">
        <v>41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>x</v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226"/>
      <c r="AC290" s="226"/>
      <c r="AD290" s="226"/>
    </row>
    <row r="291" spans="1:30" s="689" customFormat="1" ht="15.75" customHeight="1">
      <c r="A291" s="219" t="str">
        <f>IF(B291&lt;&gt;"",IF(AND(B291&gt;=_TM1,B291&lt;=_TM2,OR(TH!L291="1111",TH!M291="1111")),TH!D291,""),"")</f>
        <v/>
      </c>
      <c r="B291" s="36">
        <f t="shared" si="18"/>
        <v>4</v>
      </c>
      <c r="C291" s="37">
        <v>41024</v>
      </c>
      <c r="D291" s="195" t="s">
        <v>516</v>
      </c>
      <c r="E291" s="37">
        <v>41024</v>
      </c>
      <c r="F291" s="40" t="s">
        <v>732</v>
      </c>
      <c r="G291" s="580" t="s">
        <v>733</v>
      </c>
      <c r="H291" s="7" t="s">
        <v>487</v>
      </c>
      <c r="I291" s="277">
        <v>100</v>
      </c>
      <c r="J291" s="277">
        <v>8807</v>
      </c>
      <c r="K291" s="38">
        <v>880700</v>
      </c>
      <c r="L291" s="39" t="s">
        <v>186</v>
      </c>
      <c r="M291" s="699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C291" s="226" t="str">
        <f>IF(ISNA(VLOOKUP(F291,NXT!$C$18:$C$347,1,0)),x,"")</f>
        <v/>
      </c>
      <c r="AD291" s="226"/>
    </row>
    <row r="292" spans="1:30" s="689" customFormat="1" ht="15.75" customHeight="1">
      <c r="A292" s="219" t="str">
        <f>IF(B292&lt;&gt;"",IF(AND(B292&gt;=_TM1,B292&lt;=_TM2,OR(TH!L292="1111",TH!M292="1111")),TH!D292,""),"")</f>
        <v/>
      </c>
      <c r="B292" s="36">
        <f t="shared" si="18"/>
        <v>4</v>
      </c>
      <c r="C292" s="37">
        <v>41024</v>
      </c>
      <c r="D292" s="195" t="s">
        <v>516</v>
      </c>
      <c r="E292" s="37">
        <v>41024</v>
      </c>
      <c r="F292" s="40" t="s">
        <v>734</v>
      </c>
      <c r="G292" s="580" t="s">
        <v>733</v>
      </c>
      <c r="H292" s="7" t="s">
        <v>487</v>
      </c>
      <c r="I292" s="277">
        <v>100</v>
      </c>
      <c r="J292" s="277">
        <v>22809</v>
      </c>
      <c r="K292" s="698">
        <v>2280900</v>
      </c>
      <c r="L292" s="39" t="s">
        <v>186</v>
      </c>
      <c r="M292" s="699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226"/>
      <c r="AC292" s="226" t="str">
        <f>IF(ISNA(VLOOKUP(F292,NXT!$C$18:$C$347,1,0)),x,"")</f>
        <v/>
      </c>
      <c r="AD292" s="226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18"/>
        <v>4</v>
      </c>
      <c r="C293" s="37">
        <v>41024</v>
      </c>
      <c r="D293" s="195" t="s">
        <v>516</v>
      </c>
      <c r="E293" s="37">
        <v>41024</v>
      </c>
      <c r="F293" s="40" t="s">
        <v>735</v>
      </c>
      <c r="G293" s="580" t="s">
        <v>733</v>
      </c>
      <c r="H293" s="7" t="s">
        <v>487</v>
      </c>
      <c r="I293" s="277">
        <v>100</v>
      </c>
      <c r="J293" s="277">
        <v>23210</v>
      </c>
      <c r="K293" s="698">
        <v>2321000</v>
      </c>
      <c r="L293" s="39" t="s">
        <v>186</v>
      </c>
      <c r="M293" s="699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689"/>
      <c r="AC293" s="226" t="str">
        <f>IF(ISNA(VLOOKUP(F293,NXT!$C$18:$C$347,1,0)),x,"")</f>
        <v/>
      </c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18"/>
        <v>4</v>
      </c>
      <c r="C294" s="37">
        <v>41024</v>
      </c>
      <c r="D294" s="195" t="s">
        <v>516</v>
      </c>
      <c r="E294" s="37">
        <v>41024</v>
      </c>
      <c r="F294" s="40" t="s">
        <v>736</v>
      </c>
      <c r="G294" s="580" t="s">
        <v>733</v>
      </c>
      <c r="H294" s="7" t="s">
        <v>487</v>
      </c>
      <c r="I294" s="277">
        <v>200</v>
      </c>
      <c r="J294" s="277">
        <v>17067</v>
      </c>
      <c r="K294" s="698">
        <v>3413400</v>
      </c>
      <c r="L294" s="39" t="s">
        <v>186</v>
      </c>
      <c r="M294" s="699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C294" s="226" t="str">
        <f>IF(ISNA(VLOOKUP(F294,NXT!$C$18:$C$347,1,0)),x,"")</f>
        <v/>
      </c>
      <c r="AD294" s="844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18"/>
        <v>4</v>
      </c>
      <c r="C295" s="37">
        <v>41024</v>
      </c>
      <c r="D295" s="195" t="s">
        <v>516</v>
      </c>
      <c r="E295" s="37">
        <v>41024</v>
      </c>
      <c r="F295" s="40" t="s">
        <v>737</v>
      </c>
      <c r="G295" s="580" t="s">
        <v>733</v>
      </c>
      <c r="H295" s="7" t="s">
        <v>487</v>
      </c>
      <c r="I295" s="277">
        <v>104</v>
      </c>
      <c r="J295" s="277">
        <v>22853</v>
      </c>
      <c r="K295" s="698">
        <v>2376712</v>
      </c>
      <c r="L295" s="39" t="s">
        <v>186</v>
      </c>
      <c r="M295" s="699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689"/>
      <c r="AC295" s="226" t="str">
        <f>IF(ISNA(VLOOKUP(F295,NXT!$C$18:$C$347,1,0)),x,"")</f>
        <v/>
      </c>
    </row>
    <row r="296" spans="1:30" s="689" customFormat="1" ht="15.75" customHeight="1">
      <c r="A296" s="219" t="str">
        <f>IF(B296&lt;&gt;"",IF(AND(B296&gt;=_TM1,B296&lt;=_TM2,OR(TH!L296="1111",TH!M296="1111")),TH!D296,""),"")</f>
        <v/>
      </c>
      <c r="B296" s="36">
        <f t="shared" si="18"/>
        <v>4</v>
      </c>
      <c r="C296" s="37">
        <v>41024</v>
      </c>
      <c r="D296" s="195" t="s">
        <v>516</v>
      </c>
      <c r="E296" s="37">
        <v>41024</v>
      </c>
      <c r="F296" s="848" t="s">
        <v>738</v>
      </c>
      <c r="G296" s="580" t="s">
        <v>733</v>
      </c>
      <c r="H296" s="7" t="s">
        <v>487</v>
      </c>
      <c r="I296" s="277">
        <v>66</v>
      </c>
      <c r="J296" s="277">
        <v>20933</v>
      </c>
      <c r="K296" s="698">
        <v>1381578</v>
      </c>
      <c r="L296" s="39" t="s">
        <v>186</v>
      </c>
      <c r="M296" s="699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226"/>
      <c r="AC296" s="226" t="str">
        <f>IF(ISNA(VLOOKUP(F296,NXT!$C$18:$C$347,1,0)),x,"")</f>
        <v/>
      </c>
      <c r="AD296" s="226"/>
    </row>
    <row r="297" spans="1:30" s="689" customFormat="1" ht="15.75" customHeight="1">
      <c r="A297" s="219" t="str">
        <f>IF(B297&lt;&gt;"",IF(AND(B297&gt;=_TM1,B297&lt;=_TM2,OR(TH!L297="1111",TH!M297="1111")),TH!D297,""),"")</f>
        <v/>
      </c>
      <c r="B297" s="36">
        <f t="shared" si="18"/>
        <v>4</v>
      </c>
      <c r="C297" s="37">
        <v>41024</v>
      </c>
      <c r="D297" s="195" t="s">
        <v>516</v>
      </c>
      <c r="E297" s="37">
        <v>41024</v>
      </c>
      <c r="F297" s="40" t="s">
        <v>739</v>
      </c>
      <c r="G297" s="580" t="s">
        <v>733</v>
      </c>
      <c r="H297" s="7" t="s">
        <v>487</v>
      </c>
      <c r="I297" s="277">
        <v>66</v>
      </c>
      <c r="J297" s="277">
        <v>17926</v>
      </c>
      <c r="K297" s="698">
        <v>1183116</v>
      </c>
      <c r="L297" s="39" t="s">
        <v>186</v>
      </c>
      <c r="M297" s="699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C297" s="226" t="str">
        <f>IF(ISNA(VLOOKUP(F297,NXT!$C$18:$C$347,1,0)),x,"")</f>
        <v/>
      </c>
      <c r="AD297" s="226"/>
    </row>
    <row r="298" spans="1:30" s="689" customFormat="1" ht="15.75" customHeight="1">
      <c r="A298" s="219" t="str">
        <f>IF(B298&lt;&gt;"",IF(AND(B298&gt;=_TM1,B298&lt;=_TM2,OR(TH!L298="1111",TH!M298="1111")),TH!D298,""),"")</f>
        <v/>
      </c>
      <c r="B298" s="36">
        <f t="shared" si="18"/>
        <v>4</v>
      </c>
      <c r="C298" s="37">
        <v>41024</v>
      </c>
      <c r="D298" s="195" t="s">
        <v>516</v>
      </c>
      <c r="E298" s="37">
        <v>41024</v>
      </c>
      <c r="F298" s="40" t="s">
        <v>740</v>
      </c>
      <c r="G298" s="580" t="s">
        <v>733</v>
      </c>
      <c r="H298" s="7" t="s">
        <v>487</v>
      </c>
      <c r="I298" s="277">
        <v>112</v>
      </c>
      <c r="J298" s="277">
        <v>18818</v>
      </c>
      <c r="K298" s="698">
        <v>2107616</v>
      </c>
      <c r="L298" s="39" t="s">
        <v>186</v>
      </c>
      <c r="M298" s="699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B298" s="226"/>
      <c r="AC298" s="226" t="str">
        <f>IF(ISNA(VLOOKUP(F298,NXT!$C$18:$C$347,1,0)),x,"")</f>
        <v/>
      </c>
      <c r="AD298" s="226"/>
    </row>
    <row r="299" spans="1:30" s="689" customFormat="1" ht="15.75" customHeight="1">
      <c r="A299" s="219" t="str">
        <f>IF(B299&lt;&gt;"",IF(AND(B299&gt;=_TM1,B299&lt;=_TM2,OR(TH!L299="1111",TH!M299="1111")),TH!D299,""),"")</f>
        <v/>
      </c>
      <c r="B299" s="36">
        <f t="shared" si="18"/>
        <v>4</v>
      </c>
      <c r="C299" s="37">
        <v>41024</v>
      </c>
      <c r="D299" s="195" t="s">
        <v>516</v>
      </c>
      <c r="E299" s="37">
        <v>41024</v>
      </c>
      <c r="F299" s="40" t="s">
        <v>573</v>
      </c>
      <c r="G299" s="580" t="s">
        <v>733</v>
      </c>
      <c r="H299" s="7" t="s">
        <v>487</v>
      </c>
      <c r="I299" s="277"/>
      <c r="J299" s="277"/>
      <c r="K299" s="698">
        <v>1594502</v>
      </c>
      <c r="L299" s="39" t="s">
        <v>9</v>
      </c>
      <c r="M299" s="699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D299" s="226"/>
    </row>
    <row r="300" spans="1:30" s="689" customFormat="1" ht="15.75" customHeight="1">
      <c r="A300" s="219" t="str">
        <f>IF(B300&lt;&gt;"",IF(AND(B300&gt;=_TM1,B300&lt;=_TM2,OR(TH!L300="1111",TH!M300="1111")),TH!D300,""),"")</f>
        <v/>
      </c>
      <c r="B300" s="36">
        <f t="shared" si="18"/>
        <v>4</v>
      </c>
      <c r="C300" s="37">
        <v>41024</v>
      </c>
      <c r="D300" s="195" t="s">
        <v>517</v>
      </c>
      <c r="E300" s="37">
        <v>41024</v>
      </c>
      <c r="F300" s="40" t="s">
        <v>741</v>
      </c>
      <c r="G300" s="580" t="s">
        <v>742</v>
      </c>
      <c r="H300" s="7" t="s">
        <v>487</v>
      </c>
      <c r="I300" s="277">
        <v>100</v>
      </c>
      <c r="J300" s="277">
        <v>11866</v>
      </c>
      <c r="K300" s="698">
        <v>1186600</v>
      </c>
      <c r="L300" s="39" t="s">
        <v>186</v>
      </c>
      <c r="M300" s="699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226"/>
      <c r="AC300" s="226" t="str">
        <f>IF(ISNA(VLOOKUP(F300,NXT!$C$18:$C$347,1,0)),x,"")</f>
        <v/>
      </c>
      <c r="AD300" s="226"/>
    </row>
    <row r="301" spans="1:30" s="689" customFormat="1" ht="15.75" customHeight="1">
      <c r="A301" s="219" t="str">
        <f>IF(B301&lt;&gt;"",IF(AND(B301&gt;=_TM1,B301&lt;=_TM2,OR(TH!L301="1111",TH!M301="1111")),TH!D301,""),"")</f>
        <v/>
      </c>
      <c r="B301" s="36">
        <f t="shared" si="18"/>
        <v>4</v>
      </c>
      <c r="C301" s="37">
        <v>41024</v>
      </c>
      <c r="D301" s="195" t="s">
        <v>517</v>
      </c>
      <c r="E301" s="37">
        <v>41024</v>
      </c>
      <c r="F301" s="40" t="s">
        <v>743</v>
      </c>
      <c r="G301" s="580" t="s">
        <v>742</v>
      </c>
      <c r="H301" s="7" t="s">
        <v>487</v>
      </c>
      <c r="I301" s="277">
        <v>134</v>
      </c>
      <c r="J301" s="277">
        <v>13099</v>
      </c>
      <c r="K301" s="38">
        <v>1755266</v>
      </c>
      <c r="L301" s="39" t="s">
        <v>186</v>
      </c>
      <c r="M301" s="699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C301" s="226" t="str">
        <f>IF(ISNA(VLOOKUP(F301,NXT!$C$18:$C$347,1,0)),x,"")</f>
        <v/>
      </c>
      <c r="AD301" s="226"/>
    </row>
    <row r="302" spans="1:30" s="689" customFormat="1" ht="15.75" customHeight="1">
      <c r="A302" s="219" t="str">
        <f>IF(B302&lt;&gt;"",IF(AND(B302&gt;=_TM1,B302&lt;=_TM2,OR(TH!L302="1111",TH!M302="1111")),TH!D302,""),"")</f>
        <v/>
      </c>
      <c r="B302" s="36">
        <f t="shared" si="18"/>
        <v>4</v>
      </c>
      <c r="C302" s="37">
        <v>41024</v>
      </c>
      <c r="D302" s="195" t="s">
        <v>517</v>
      </c>
      <c r="E302" s="37">
        <v>41024</v>
      </c>
      <c r="F302" s="40" t="s">
        <v>744</v>
      </c>
      <c r="G302" s="580" t="s">
        <v>742</v>
      </c>
      <c r="H302" s="7" t="s">
        <v>487</v>
      </c>
      <c r="I302" s="277">
        <v>170</v>
      </c>
      <c r="J302" s="277">
        <v>14573</v>
      </c>
      <c r="K302" s="698">
        <v>2477410</v>
      </c>
      <c r="L302" s="39" t="s">
        <v>186</v>
      </c>
      <c r="M302" s="699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226"/>
      <c r="AC302" s="226" t="str">
        <f>IF(ISNA(VLOOKUP(F302,NXT!$C$18:$C$347,1,0)),x,"")</f>
        <v/>
      </c>
      <c r="AD302" s="226"/>
    </row>
    <row r="303" spans="1:30" s="689" customFormat="1" ht="15.75" customHeight="1">
      <c r="A303" s="219" t="str">
        <f>IF(B303&lt;&gt;"",IF(AND(B303&gt;=_TM1,B303&lt;=_TM2,OR(TH!L303="1111",TH!M303="1111")),TH!D303,""),"")</f>
        <v/>
      </c>
      <c r="B303" s="36">
        <f t="shared" si="18"/>
        <v>4</v>
      </c>
      <c r="C303" s="37">
        <v>41024</v>
      </c>
      <c r="D303" s="195" t="s">
        <v>517</v>
      </c>
      <c r="E303" s="37">
        <v>41024</v>
      </c>
      <c r="F303" s="40" t="s">
        <v>745</v>
      </c>
      <c r="G303" s="580" t="s">
        <v>742</v>
      </c>
      <c r="H303" s="7" t="s">
        <v>487</v>
      </c>
      <c r="I303" s="277">
        <v>50</v>
      </c>
      <c r="J303" s="277">
        <v>15578</v>
      </c>
      <c r="K303" s="698">
        <v>778900</v>
      </c>
      <c r="L303" s="39" t="s">
        <v>186</v>
      </c>
      <c r="M303" s="699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  <c r="AB303" s="226"/>
      <c r="AC303" s="226" t="str">
        <f>IF(ISNA(VLOOKUP(F303,NXT!$C$18:$C$347,1,0)),x,"")</f>
        <v/>
      </c>
      <c r="AD303" s="226"/>
    </row>
    <row r="304" spans="1:30" s="689" customFormat="1" ht="15.75" customHeight="1">
      <c r="A304" s="219" t="str">
        <f>IF(B304&lt;&gt;"",IF(AND(B304&gt;=_TM1,B304&lt;=_TM2,OR(TH!L304="1111",TH!M304="1111")),TH!D304,""),"")</f>
        <v/>
      </c>
      <c r="B304" s="36">
        <f t="shared" si="18"/>
        <v>4</v>
      </c>
      <c r="C304" s="37">
        <v>41024</v>
      </c>
      <c r="D304" s="195" t="s">
        <v>517</v>
      </c>
      <c r="E304" s="37">
        <v>41024</v>
      </c>
      <c r="F304" s="40" t="s">
        <v>746</v>
      </c>
      <c r="G304" s="580" t="s">
        <v>742</v>
      </c>
      <c r="H304" s="7" t="s">
        <v>487</v>
      </c>
      <c r="I304" s="277">
        <v>240</v>
      </c>
      <c r="J304" s="277">
        <v>17072</v>
      </c>
      <c r="K304" s="698">
        <v>4097280</v>
      </c>
      <c r="L304" s="39" t="s">
        <v>186</v>
      </c>
      <c r="M304" s="699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226"/>
      <c r="AC304" s="226" t="str">
        <f>IF(ISNA(VLOOKUP(F304,NXT!$C$18:$C$347,1,0)),x,"")</f>
        <v/>
      </c>
      <c r="AD304" s="226"/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18"/>
        <v>4</v>
      </c>
      <c r="C305" s="37">
        <v>41024</v>
      </c>
      <c r="D305" s="195" t="s">
        <v>517</v>
      </c>
      <c r="E305" s="37">
        <v>41024</v>
      </c>
      <c r="F305" s="40" t="s">
        <v>747</v>
      </c>
      <c r="G305" s="580" t="s">
        <v>742</v>
      </c>
      <c r="H305" s="7" t="s">
        <v>487</v>
      </c>
      <c r="I305" s="277">
        <v>65</v>
      </c>
      <c r="J305" s="277">
        <v>16878</v>
      </c>
      <c r="K305" s="698">
        <v>1097070</v>
      </c>
      <c r="L305" s="39" t="s">
        <v>186</v>
      </c>
      <c r="M305" s="699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18"/>
        <v>4</v>
      </c>
      <c r="C306" s="37">
        <v>41024</v>
      </c>
      <c r="D306" s="195" t="s">
        <v>517</v>
      </c>
      <c r="E306" s="37">
        <v>41024</v>
      </c>
      <c r="F306" s="40" t="s">
        <v>748</v>
      </c>
      <c r="G306" s="580" t="s">
        <v>742</v>
      </c>
      <c r="H306" s="7" t="s">
        <v>487</v>
      </c>
      <c r="I306" s="277">
        <v>104</v>
      </c>
      <c r="J306" s="277">
        <v>19759</v>
      </c>
      <c r="K306" s="698">
        <v>2054936</v>
      </c>
      <c r="L306" s="39" t="s">
        <v>186</v>
      </c>
      <c r="M306" s="699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18"/>
        <v>4</v>
      </c>
      <c r="C307" s="37">
        <v>41024</v>
      </c>
      <c r="D307" s="195" t="s">
        <v>517</v>
      </c>
      <c r="E307" s="37">
        <v>41024</v>
      </c>
      <c r="F307" s="40" t="s">
        <v>749</v>
      </c>
      <c r="G307" s="580" t="s">
        <v>742</v>
      </c>
      <c r="H307" s="7" t="s">
        <v>487</v>
      </c>
      <c r="I307" s="277">
        <v>214</v>
      </c>
      <c r="J307" s="277">
        <v>24095</v>
      </c>
      <c r="K307" s="698">
        <v>5156330</v>
      </c>
      <c r="L307" s="39" t="s">
        <v>186</v>
      </c>
      <c r="M307" s="699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18"/>
        <v>4</v>
      </c>
      <c r="C308" s="37">
        <v>41024</v>
      </c>
      <c r="D308" s="195" t="s">
        <v>517</v>
      </c>
      <c r="E308" s="37">
        <v>41024</v>
      </c>
      <c r="F308" s="40" t="s">
        <v>573</v>
      </c>
      <c r="G308" s="580" t="s">
        <v>742</v>
      </c>
      <c r="H308" s="7" t="s">
        <v>487</v>
      </c>
      <c r="I308" s="277"/>
      <c r="J308" s="277"/>
      <c r="K308" s="698">
        <v>1860379</v>
      </c>
      <c r="L308" s="39" t="s">
        <v>9</v>
      </c>
      <c r="M308" s="699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18"/>
        <v>4</v>
      </c>
      <c r="C309" s="37">
        <v>41027</v>
      </c>
      <c r="D309" s="195" t="s">
        <v>518</v>
      </c>
      <c r="E309" s="37">
        <v>41027</v>
      </c>
      <c r="F309" s="40" t="s">
        <v>750</v>
      </c>
      <c r="G309" s="580" t="s">
        <v>751</v>
      </c>
      <c r="H309" s="7" t="s">
        <v>487</v>
      </c>
      <c r="I309" s="279">
        <v>350</v>
      </c>
      <c r="J309" s="279">
        <v>19819</v>
      </c>
      <c r="K309" s="698">
        <v>6936650</v>
      </c>
      <c r="L309" s="39" t="s">
        <v>186</v>
      </c>
      <c r="M309" s="699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18"/>
        <v>4</v>
      </c>
      <c r="C310" s="37">
        <v>41027</v>
      </c>
      <c r="D310" s="195" t="s">
        <v>518</v>
      </c>
      <c r="E310" s="37">
        <v>41027</v>
      </c>
      <c r="F310" s="40" t="s">
        <v>752</v>
      </c>
      <c r="G310" s="580" t="s">
        <v>751</v>
      </c>
      <c r="H310" s="7" t="s">
        <v>487</v>
      </c>
      <c r="I310" s="277">
        <v>50</v>
      </c>
      <c r="J310" s="277">
        <v>21762</v>
      </c>
      <c r="K310" s="38">
        <v>1088100</v>
      </c>
      <c r="L310" s="39" t="s">
        <v>186</v>
      </c>
      <c r="M310" s="699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C310" s="226" t="str">
        <f>IF(ISNA(VLOOKUP(F310,NXT!$C$18:$C$347,1,0)),x,"")</f>
        <v/>
      </c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18"/>
        <v>4</v>
      </c>
      <c r="C311" s="37">
        <v>41027</v>
      </c>
      <c r="D311" s="195" t="s">
        <v>518</v>
      </c>
      <c r="E311" s="37">
        <v>41027</v>
      </c>
      <c r="F311" s="40" t="s">
        <v>753</v>
      </c>
      <c r="G311" s="580" t="s">
        <v>751</v>
      </c>
      <c r="H311" s="7" t="s">
        <v>487</v>
      </c>
      <c r="I311" s="279">
        <v>290</v>
      </c>
      <c r="J311" s="279">
        <v>19041</v>
      </c>
      <c r="K311" s="698">
        <v>5521890</v>
      </c>
      <c r="L311" s="39" t="s">
        <v>186</v>
      </c>
      <c r="M311" s="699" t="s">
        <v>8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  <c r="AC311" s="226" t="str">
        <f>IF(ISNA(VLOOKUP(F311,NXT!$C$18:$C$347,1,0)),x,"")</f>
        <v/>
      </c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ref="B312:B375" si="19">IF(C312&lt;&gt;"",MONTH(C312),"")</f>
        <v>4</v>
      </c>
      <c r="C312" s="37">
        <v>41027</v>
      </c>
      <c r="D312" s="195" t="s">
        <v>518</v>
      </c>
      <c r="E312" s="37">
        <v>41027</v>
      </c>
      <c r="F312" s="40" t="s">
        <v>754</v>
      </c>
      <c r="G312" s="580" t="s">
        <v>751</v>
      </c>
      <c r="H312" s="7" t="s">
        <v>487</v>
      </c>
      <c r="I312" s="277">
        <v>50</v>
      </c>
      <c r="J312" s="277">
        <v>23155</v>
      </c>
      <c r="K312" s="698">
        <v>1157750</v>
      </c>
      <c r="L312" s="39" t="s">
        <v>186</v>
      </c>
      <c r="M312" s="699" t="s">
        <v>8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  <c r="AC312" s="226" t="str">
        <f>IF(ISNA(VLOOKUP(F312,NXT!$C$18:$C$347,1,0)),x,"")</f>
        <v/>
      </c>
      <c r="AD312" s="689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19"/>
        <v>4</v>
      </c>
      <c r="C313" s="37">
        <v>41027</v>
      </c>
      <c r="D313" s="195" t="s">
        <v>518</v>
      </c>
      <c r="E313" s="37">
        <v>41027</v>
      </c>
      <c r="F313" s="40" t="s">
        <v>755</v>
      </c>
      <c r="G313" s="580" t="s">
        <v>751</v>
      </c>
      <c r="H313" s="7" t="s">
        <v>487</v>
      </c>
      <c r="I313" s="277">
        <v>100</v>
      </c>
      <c r="J313" s="277">
        <v>12757</v>
      </c>
      <c r="K313" s="698">
        <v>1275700</v>
      </c>
      <c r="L313" s="39" t="s">
        <v>186</v>
      </c>
      <c r="M313" s="699" t="s">
        <v>8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  <c r="AC313" s="226" t="str">
        <f>IF(ISNA(VLOOKUP(F313,NXT!$C$18:$C$347,1,0)),x,"")</f>
        <v/>
      </c>
      <c r="AD313" s="689"/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19"/>
        <v>4</v>
      </c>
      <c r="C314" s="37">
        <v>41027</v>
      </c>
      <c r="D314" s="195" t="s">
        <v>518</v>
      </c>
      <c r="E314" s="37">
        <v>41027</v>
      </c>
      <c r="F314" s="40" t="s">
        <v>756</v>
      </c>
      <c r="G314" s="580" t="s">
        <v>751</v>
      </c>
      <c r="H314" s="7" t="s">
        <v>487</v>
      </c>
      <c r="I314" s="277">
        <v>100</v>
      </c>
      <c r="J314" s="277">
        <v>15976</v>
      </c>
      <c r="K314" s="698">
        <v>1597600</v>
      </c>
      <c r="L314" s="39" t="s">
        <v>186</v>
      </c>
      <c r="M314" s="699" t="s">
        <v>8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  <c r="AC314" s="226" t="str">
        <f>IF(ISNA(VLOOKUP(F314,NXT!$C$18:$C$347,1,0)),x,"")</f>
        <v/>
      </c>
      <c r="AD314" s="689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19"/>
        <v>4</v>
      </c>
      <c r="C315" s="37">
        <v>41027</v>
      </c>
      <c r="D315" s="195" t="s">
        <v>518</v>
      </c>
      <c r="E315" s="37">
        <v>41027</v>
      </c>
      <c r="F315" s="40" t="s">
        <v>757</v>
      </c>
      <c r="G315" s="580" t="s">
        <v>751</v>
      </c>
      <c r="H315" s="7" t="s">
        <v>487</v>
      </c>
      <c r="I315" s="277">
        <v>129</v>
      </c>
      <c r="J315" s="277">
        <v>11873</v>
      </c>
      <c r="K315" s="38">
        <v>1531617</v>
      </c>
      <c r="L315" s="39" t="s">
        <v>186</v>
      </c>
      <c r="M315" s="699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C315" s="226" t="str">
        <f>IF(ISNA(VLOOKUP(F315,NXT!$C$18:$C$347,1,0)),x,"")</f>
        <v/>
      </c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19"/>
        <v>4</v>
      </c>
      <c r="C316" s="37">
        <v>41027</v>
      </c>
      <c r="D316" s="195" t="s">
        <v>518</v>
      </c>
      <c r="E316" s="111">
        <v>41027</v>
      </c>
      <c r="F316" s="203" t="s">
        <v>749</v>
      </c>
      <c r="G316" s="580" t="s">
        <v>751</v>
      </c>
      <c r="H316" s="7" t="s">
        <v>487</v>
      </c>
      <c r="I316" s="280">
        <v>110</v>
      </c>
      <c r="J316" s="280">
        <v>24095</v>
      </c>
      <c r="K316" s="698">
        <v>2650450</v>
      </c>
      <c r="L316" s="39" t="s">
        <v>186</v>
      </c>
      <c r="M316" s="699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  <c r="AD316" s="689"/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19"/>
        <v>4</v>
      </c>
      <c r="C317" s="37">
        <v>41027</v>
      </c>
      <c r="D317" s="195" t="s">
        <v>518</v>
      </c>
      <c r="E317" s="111">
        <v>41027</v>
      </c>
      <c r="F317" s="203" t="s">
        <v>573</v>
      </c>
      <c r="G317" s="580" t="s">
        <v>751</v>
      </c>
      <c r="H317" s="7" t="s">
        <v>487</v>
      </c>
      <c r="I317" s="277"/>
      <c r="J317" s="277"/>
      <c r="K317" s="698">
        <v>2175976</v>
      </c>
      <c r="L317" s="39" t="s">
        <v>9</v>
      </c>
      <c r="M317" s="699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D317" s="689"/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19"/>
        <v>4</v>
      </c>
      <c r="C318" s="37">
        <v>41027</v>
      </c>
      <c r="D318" s="195" t="s">
        <v>519</v>
      </c>
      <c r="E318" s="111">
        <v>41027</v>
      </c>
      <c r="F318" s="203" t="s">
        <v>758</v>
      </c>
      <c r="G318" s="580" t="s">
        <v>759</v>
      </c>
      <c r="H318" s="7" t="s">
        <v>487</v>
      </c>
      <c r="I318" s="277">
        <v>250</v>
      </c>
      <c r="J318" s="277">
        <v>8465</v>
      </c>
      <c r="K318" s="38">
        <v>2116250</v>
      </c>
      <c r="L318" s="39" t="s">
        <v>186</v>
      </c>
      <c r="M318" s="699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C318" s="226" t="str">
        <f>IF(ISNA(VLOOKUP(F318,NXT!$C$18:$C$347,1,0)),x,"")</f>
        <v/>
      </c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19"/>
        <v>4</v>
      </c>
      <c r="C319" s="37">
        <v>41027</v>
      </c>
      <c r="D319" s="195" t="s">
        <v>519</v>
      </c>
      <c r="E319" s="37">
        <v>41027</v>
      </c>
      <c r="F319" s="40" t="s">
        <v>760</v>
      </c>
      <c r="G319" s="577" t="s">
        <v>759</v>
      </c>
      <c r="H319" s="7" t="s">
        <v>487</v>
      </c>
      <c r="I319" s="278">
        <v>350</v>
      </c>
      <c r="J319" s="277">
        <v>16321</v>
      </c>
      <c r="K319" s="38">
        <v>5712350</v>
      </c>
      <c r="L319" s="39" t="s">
        <v>186</v>
      </c>
      <c r="M319" s="699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689"/>
      <c r="AC319" s="226" t="str">
        <f>IF(ISNA(VLOOKUP(F319,NXT!$C$18:$C$347,1,0)),x,"")</f>
        <v/>
      </c>
      <c r="AD319" s="689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19"/>
        <v>4</v>
      </c>
      <c r="C320" s="37">
        <v>41027</v>
      </c>
      <c r="D320" s="195" t="s">
        <v>519</v>
      </c>
      <c r="E320" s="37">
        <v>41027</v>
      </c>
      <c r="F320" s="40" t="s">
        <v>761</v>
      </c>
      <c r="G320" s="577" t="s">
        <v>759</v>
      </c>
      <c r="H320" s="7" t="s">
        <v>487</v>
      </c>
      <c r="I320" s="278">
        <v>410</v>
      </c>
      <c r="J320" s="277">
        <v>9828</v>
      </c>
      <c r="K320" s="38">
        <v>4029480</v>
      </c>
      <c r="L320" s="39" t="s">
        <v>186</v>
      </c>
      <c r="M320" s="699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C320" s="226" t="str">
        <f>IF(ISNA(VLOOKUP(F320,NXT!$C$18:$C$347,1,0)),x,"")</f>
        <v/>
      </c>
      <c r="AD320" s="689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19"/>
        <v>4</v>
      </c>
      <c r="C321" s="37">
        <v>41027</v>
      </c>
      <c r="D321" s="195" t="s">
        <v>519</v>
      </c>
      <c r="E321" s="37">
        <v>41027</v>
      </c>
      <c r="F321" s="40" t="s">
        <v>762</v>
      </c>
      <c r="G321" s="577" t="s">
        <v>759</v>
      </c>
      <c r="H321" s="7" t="s">
        <v>487</v>
      </c>
      <c r="I321" s="278">
        <v>470</v>
      </c>
      <c r="J321" s="277">
        <v>11157</v>
      </c>
      <c r="K321" s="38">
        <v>5243790</v>
      </c>
      <c r="L321" s="39" t="s">
        <v>186</v>
      </c>
      <c r="M321" s="699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689"/>
      <c r="AC321" s="226" t="str">
        <f>IF(ISNA(VLOOKUP(F321,NXT!$C$18:$C$347,1,0)),x,"")</f>
        <v/>
      </c>
      <c r="AD321" s="689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19"/>
        <v>4</v>
      </c>
      <c r="C322" s="37">
        <v>41027</v>
      </c>
      <c r="D322" s="195" t="s">
        <v>519</v>
      </c>
      <c r="E322" s="37">
        <v>41027</v>
      </c>
      <c r="F322" s="40" t="s">
        <v>763</v>
      </c>
      <c r="G322" s="577" t="s">
        <v>759</v>
      </c>
      <c r="H322" s="7" t="s">
        <v>487</v>
      </c>
      <c r="I322" s="278">
        <v>150</v>
      </c>
      <c r="J322" s="277">
        <v>10811</v>
      </c>
      <c r="K322" s="38">
        <v>1621650</v>
      </c>
      <c r="L322" s="39" t="s">
        <v>186</v>
      </c>
      <c r="M322" s="699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689"/>
      <c r="AC322" s="226" t="str">
        <f>IF(ISNA(VLOOKUP(F322,NXT!$C$18:$C$347,1,0)),x,"")</f>
        <v/>
      </c>
      <c r="AD322" s="689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19"/>
        <v>4</v>
      </c>
      <c r="C323" s="195">
        <v>41027</v>
      </c>
      <c r="D323" s="195" t="s">
        <v>519</v>
      </c>
      <c r="E323" s="195">
        <v>41027</v>
      </c>
      <c r="F323" s="203" t="s">
        <v>764</v>
      </c>
      <c r="G323" s="700" t="s">
        <v>759</v>
      </c>
      <c r="H323" s="7" t="s">
        <v>487</v>
      </c>
      <c r="I323" s="277">
        <v>460</v>
      </c>
      <c r="J323" s="277">
        <v>11150</v>
      </c>
      <c r="K323" s="698">
        <v>5129000</v>
      </c>
      <c r="L323" s="699" t="s">
        <v>186</v>
      </c>
      <c r="M323" s="699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B323" s="689"/>
      <c r="AC323" s="226" t="str">
        <f>IF(ISNA(VLOOKUP(F323,NXT!$C$18:$C$347,1,0)),x,"")</f>
        <v/>
      </c>
      <c r="AD323" s="689"/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19"/>
        <v>4</v>
      </c>
      <c r="C324" s="195">
        <v>41027</v>
      </c>
      <c r="D324" s="195" t="s">
        <v>519</v>
      </c>
      <c r="E324" s="195">
        <v>41027</v>
      </c>
      <c r="F324" s="203" t="s">
        <v>765</v>
      </c>
      <c r="G324" s="700" t="s">
        <v>759</v>
      </c>
      <c r="H324" s="7" t="s">
        <v>487</v>
      </c>
      <c r="I324" s="277">
        <v>66</v>
      </c>
      <c r="J324" s="277">
        <v>19846</v>
      </c>
      <c r="K324" s="698">
        <v>1309836</v>
      </c>
      <c r="L324" s="699" t="s">
        <v>186</v>
      </c>
      <c r="M324" s="699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B324" s="689"/>
      <c r="AC324" s="226" t="str">
        <f>IF(ISNA(VLOOKUP(F324,NXT!$C$18:$C$347,1,0)),x,"")</f>
        <v/>
      </c>
      <c r="AD324" s="689"/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19"/>
        <v>4</v>
      </c>
      <c r="C325" s="195">
        <v>41027</v>
      </c>
      <c r="D325" s="195" t="s">
        <v>519</v>
      </c>
      <c r="E325" s="195">
        <v>41027</v>
      </c>
      <c r="F325" s="203" t="s">
        <v>766</v>
      </c>
      <c r="G325" s="700" t="s">
        <v>759</v>
      </c>
      <c r="H325" s="7" t="s">
        <v>487</v>
      </c>
      <c r="I325" s="277">
        <v>240</v>
      </c>
      <c r="J325" s="277">
        <v>21089</v>
      </c>
      <c r="K325" s="698">
        <v>5061360</v>
      </c>
      <c r="L325" s="699" t="s">
        <v>186</v>
      </c>
      <c r="M325" s="699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689"/>
      <c r="AC325" s="226" t="str">
        <f>IF(ISNA(VLOOKUP(F325,NXT!$C$18:$C$347,1,0)),x,"")</f>
        <v/>
      </c>
      <c r="AD325" s="689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19"/>
        <v>4</v>
      </c>
      <c r="C326" s="195">
        <v>41027</v>
      </c>
      <c r="D326" s="195" t="s">
        <v>519</v>
      </c>
      <c r="E326" s="195">
        <v>41027</v>
      </c>
      <c r="F326" s="203" t="s">
        <v>573</v>
      </c>
      <c r="G326" s="700" t="s">
        <v>759</v>
      </c>
      <c r="H326" s="7" t="s">
        <v>487</v>
      </c>
      <c r="I326" s="277"/>
      <c r="J326" s="277"/>
      <c r="K326" s="698">
        <v>3022372</v>
      </c>
      <c r="L326" s="699" t="s">
        <v>9</v>
      </c>
      <c r="M326" s="699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689"/>
      <c r="AC326" s="689"/>
      <c r="AD326" s="689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19"/>
        <v>4</v>
      </c>
      <c r="C327" s="195">
        <v>41027</v>
      </c>
      <c r="D327" s="195" t="s">
        <v>520</v>
      </c>
      <c r="E327" s="195">
        <v>41027</v>
      </c>
      <c r="F327" s="203" t="s">
        <v>767</v>
      </c>
      <c r="G327" s="700" t="s">
        <v>768</v>
      </c>
      <c r="H327" s="7" t="s">
        <v>487</v>
      </c>
      <c r="I327" s="277">
        <v>100</v>
      </c>
      <c r="J327" s="277">
        <v>5928</v>
      </c>
      <c r="K327" s="698">
        <v>592800</v>
      </c>
      <c r="L327" s="699" t="s">
        <v>186</v>
      </c>
      <c r="M327" s="699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689"/>
      <c r="AC327" s="226" t="str">
        <f>IF(ISNA(VLOOKUP(F327,NXT!$C$18:$C$347,1,0)),x,"")</f>
        <v/>
      </c>
      <c r="AD327" s="689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19"/>
        <v>4</v>
      </c>
      <c r="C328" s="195">
        <v>41027</v>
      </c>
      <c r="D328" s="195" t="s">
        <v>520</v>
      </c>
      <c r="E328" s="195">
        <v>41027</v>
      </c>
      <c r="F328" s="203" t="s">
        <v>769</v>
      </c>
      <c r="G328" s="700" t="s">
        <v>768</v>
      </c>
      <c r="H328" s="7" t="s">
        <v>487</v>
      </c>
      <c r="I328" s="277">
        <v>100</v>
      </c>
      <c r="J328" s="277">
        <v>6413</v>
      </c>
      <c r="K328" s="698">
        <v>641300</v>
      </c>
      <c r="L328" s="699" t="s">
        <v>186</v>
      </c>
      <c r="M328" s="699" t="s">
        <v>8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  <c r="AB328" s="689"/>
      <c r="AC328" s="226" t="str">
        <f>IF(ISNA(VLOOKUP(F328,NXT!$C$18:$C$347,1,0)),x,"")</f>
        <v/>
      </c>
      <c r="AD328" s="689"/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19"/>
        <v>4</v>
      </c>
      <c r="C329" s="195">
        <v>41027</v>
      </c>
      <c r="D329" s="195" t="s">
        <v>520</v>
      </c>
      <c r="E329" s="195">
        <v>41027</v>
      </c>
      <c r="F329" s="203" t="s">
        <v>770</v>
      </c>
      <c r="G329" s="700" t="s">
        <v>768</v>
      </c>
      <c r="H329" s="7" t="s">
        <v>487</v>
      </c>
      <c r="I329" s="277">
        <v>100</v>
      </c>
      <c r="J329" s="277">
        <v>6783</v>
      </c>
      <c r="K329" s="698">
        <v>678300</v>
      </c>
      <c r="L329" s="699" t="s">
        <v>186</v>
      </c>
      <c r="M329" s="699" t="s">
        <v>8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  <c r="AB329" s="689"/>
      <c r="AC329" s="226" t="str">
        <f>IF(ISNA(VLOOKUP(F329,NXT!$C$18:$C$347,1,0)),x,"")</f>
        <v/>
      </c>
      <c r="AD329" s="689"/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19"/>
        <v>4</v>
      </c>
      <c r="C330" s="37">
        <v>41027</v>
      </c>
      <c r="D330" s="195" t="s">
        <v>520</v>
      </c>
      <c r="E330" s="37">
        <v>41027</v>
      </c>
      <c r="F330" s="40" t="s">
        <v>771</v>
      </c>
      <c r="G330" s="580" t="s">
        <v>768</v>
      </c>
      <c r="H330" s="7" t="s">
        <v>487</v>
      </c>
      <c r="I330" s="279">
        <v>50</v>
      </c>
      <c r="J330" s="279">
        <v>10613</v>
      </c>
      <c r="K330" s="38">
        <v>530650</v>
      </c>
      <c r="L330" s="39" t="s">
        <v>186</v>
      </c>
      <c r="M330" s="699" t="s">
        <v>8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C330" s="226" t="str">
        <f>IF(ISNA(VLOOKUP(F330,NXT!$C$18:$C$347,1,0)),x,"")</f>
        <v/>
      </c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19"/>
        <v>4</v>
      </c>
      <c r="C331" s="37">
        <v>41027</v>
      </c>
      <c r="D331" s="195" t="s">
        <v>520</v>
      </c>
      <c r="E331" s="37">
        <v>41027</v>
      </c>
      <c r="F331" s="40" t="s">
        <v>772</v>
      </c>
      <c r="G331" s="580" t="s">
        <v>768</v>
      </c>
      <c r="H331" s="7" t="s">
        <v>487</v>
      </c>
      <c r="I331" s="279">
        <v>486</v>
      </c>
      <c r="J331" s="279">
        <v>9286</v>
      </c>
      <c r="K331" s="38">
        <v>4512996</v>
      </c>
      <c r="L331" s="39" t="s">
        <v>186</v>
      </c>
      <c r="M331" s="699" t="s">
        <v>8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689"/>
      <c r="AC331" s="226" t="str">
        <f>IF(ISNA(VLOOKUP(F331,NXT!$C$18:$C$347,1,0)),x,"")</f>
        <v/>
      </c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19"/>
        <v>4</v>
      </c>
      <c r="C332" s="195">
        <v>41027</v>
      </c>
      <c r="D332" s="195" t="s">
        <v>520</v>
      </c>
      <c r="E332" s="195">
        <v>41027</v>
      </c>
      <c r="F332" s="203" t="s">
        <v>773</v>
      </c>
      <c r="G332" s="700" t="s">
        <v>768</v>
      </c>
      <c r="H332" s="7" t="s">
        <v>487</v>
      </c>
      <c r="I332" s="277">
        <v>250</v>
      </c>
      <c r="J332" s="277">
        <v>8505</v>
      </c>
      <c r="K332" s="698">
        <v>2126250</v>
      </c>
      <c r="L332" s="699" t="s">
        <v>186</v>
      </c>
      <c r="M332" s="699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689"/>
      <c r="AC332" s="226" t="str">
        <f>IF(ISNA(VLOOKUP(F332,NXT!$C$18:$C$347,1,0)),x,"")</f>
        <v/>
      </c>
      <c r="AD332" s="689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19"/>
        <v>4</v>
      </c>
      <c r="C333" s="195">
        <v>41027</v>
      </c>
      <c r="D333" s="195" t="s">
        <v>520</v>
      </c>
      <c r="E333" s="195">
        <v>41027</v>
      </c>
      <c r="F333" s="203" t="s">
        <v>774</v>
      </c>
      <c r="G333" s="700" t="s">
        <v>768</v>
      </c>
      <c r="H333" s="7" t="s">
        <v>487</v>
      </c>
      <c r="I333" s="277">
        <v>195</v>
      </c>
      <c r="J333" s="277">
        <v>12241</v>
      </c>
      <c r="K333" s="698">
        <v>2386995</v>
      </c>
      <c r="L333" s="699" t="s">
        <v>186</v>
      </c>
      <c r="M333" s="699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689"/>
      <c r="AC333" s="226" t="str">
        <f>IF(ISNA(VLOOKUP(F333,NXT!$C$18:$C$347,1,0)),x,"")</f>
        <v/>
      </c>
      <c r="AD333" s="689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19"/>
        <v>4</v>
      </c>
      <c r="C334" s="195">
        <v>41027</v>
      </c>
      <c r="D334" s="195" t="s">
        <v>520</v>
      </c>
      <c r="E334" s="195">
        <v>41027</v>
      </c>
      <c r="F334" s="203" t="s">
        <v>775</v>
      </c>
      <c r="G334" s="700" t="s">
        <v>768</v>
      </c>
      <c r="H334" s="7" t="s">
        <v>487</v>
      </c>
      <c r="I334" s="277">
        <v>100</v>
      </c>
      <c r="J334" s="277">
        <v>22361</v>
      </c>
      <c r="K334" s="698">
        <v>2236100</v>
      </c>
      <c r="L334" s="699" t="s">
        <v>186</v>
      </c>
      <c r="M334" s="699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689"/>
      <c r="AC334" s="226" t="str">
        <f>IF(ISNA(VLOOKUP(F334,NXT!$C$18:$C$347,1,0)),x,"")</f>
        <v/>
      </c>
      <c r="AD334" s="689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19"/>
        <v>4</v>
      </c>
      <c r="C335" s="37">
        <v>41027</v>
      </c>
      <c r="D335" s="195" t="s">
        <v>520</v>
      </c>
      <c r="E335" s="37">
        <v>41027</v>
      </c>
      <c r="F335" s="40" t="s">
        <v>573</v>
      </c>
      <c r="G335" s="580" t="s">
        <v>768</v>
      </c>
      <c r="H335" s="7" t="s">
        <v>487</v>
      </c>
      <c r="I335" s="277"/>
      <c r="J335" s="277"/>
      <c r="K335" s="38">
        <v>1370539</v>
      </c>
      <c r="L335" s="39" t="s">
        <v>9</v>
      </c>
      <c r="M335" s="699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</row>
    <row r="336" spans="1:30" s="226" customFormat="1" ht="15.75" customHeight="1">
      <c r="A336" s="219" t="str">
        <f>IF(B336&lt;&gt;"",IF(AND(B336&gt;=_TM1,B336&lt;=_TM2,OR(TH!L336="1111",TH!M336="1111")),TH!D336,""),"")</f>
        <v/>
      </c>
      <c r="B336" s="36">
        <f t="shared" si="19"/>
        <v>4</v>
      </c>
      <c r="C336" s="37">
        <v>41027</v>
      </c>
      <c r="D336" s="195" t="s">
        <v>521</v>
      </c>
      <c r="E336" s="37">
        <v>41027</v>
      </c>
      <c r="F336" s="40" t="s">
        <v>721</v>
      </c>
      <c r="G336" s="580" t="s">
        <v>776</v>
      </c>
      <c r="H336" s="7" t="s">
        <v>487</v>
      </c>
      <c r="I336" s="277">
        <v>150</v>
      </c>
      <c r="J336" s="277">
        <v>11176</v>
      </c>
      <c r="K336" s="38">
        <v>1676400</v>
      </c>
      <c r="L336" s="39" t="s">
        <v>186</v>
      </c>
      <c r="M336" s="699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689"/>
      <c r="AC336" s="226" t="str">
        <f>IF(ISNA(VLOOKUP(F336,NXT!$C$18:$C$347,1,0)),x,"")</f>
        <v/>
      </c>
    </row>
    <row r="337" spans="1:30" s="226" customFormat="1" ht="15.75" customHeight="1">
      <c r="A337" s="219" t="str">
        <f>IF(B337&lt;&gt;"",IF(AND(B337&gt;=_TM1,B337&lt;=_TM2,OR(TH!L337="1111",TH!M337="1111")),TH!D337,""),"")</f>
        <v/>
      </c>
      <c r="B337" s="36">
        <f t="shared" si="19"/>
        <v>4</v>
      </c>
      <c r="C337" s="37">
        <v>41027</v>
      </c>
      <c r="D337" s="195" t="s">
        <v>521</v>
      </c>
      <c r="E337" s="111">
        <v>41027</v>
      </c>
      <c r="F337" s="203" t="s">
        <v>777</v>
      </c>
      <c r="G337" s="580" t="s">
        <v>776</v>
      </c>
      <c r="H337" s="7" t="s">
        <v>487</v>
      </c>
      <c r="I337" s="277">
        <v>300</v>
      </c>
      <c r="J337" s="277">
        <v>13112</v>
      </c>
      <c r="K337" s="698">
        <v>3933600</v>
      </c>
      <c r="L337" s="39" t="s">
        <v>186</v>
      </c>
      <c r="M337" s="699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C337" s="226" t="str">
        <f>IF(ISNA(VLOOKUP(F337,NXT!$C$18:$C$347,1,0)),x,"")</f>
        <v/>
      </c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19"/>
        <v>4</v>
      </c>
      <c r="C338" s="37">
        <v>41027</v>
      </c>
      <c r="D338" s="195" t="s">
        <v>521</v>
      </c>
      <c r="E338" s="111">
        <v>41027</v>
      </c>
      <c r="F338" s="203" t="s">
        <v>778</v>
      </c>
      <c r="G338" s="580" t="s">
        <v>776</v>
      </c>
      <c r="H338" s="7" t="s">
        <v>487</v>
      </c>
      <c r="I338" s="277">
        <v>200</v>
      </c>
      <c r="J338" s="277">
        <v>23543</v>
      </c>
      <c r="K338" s="38">
        <v>4708600</v>
      </c>
      <c r="L338" s="39" t="s">
        <v>186</v>
      </c>
      <c r="M338" s="699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19"/>
        <v>4</v>
      </c>
      <c r="C339" s="37">
        <v>41027</v>
      </c>
      <c r="D339" s="195" t="s">
        <v>521</v>
      </c>
      <c r="E339" s="111">
        <v>41027</v>
      </c>
      <c r="F339" s="40" t="s">
        <v>779</v>
      </c>
      <c r="G339" s="580" t="s">
        <v>776</v>
      </c>
      <c r="H339" s="7" t="s">
        <v>487</v>
      </c>
      <c r="I339" s="278">
        <v>150</v>
      </c>
      <c r="J339" s="278">
        <v>11706</v>
      </c>
      <c r="K339" s="38">
        <v>1755900</v>
      </c>
      <c r="L339" s="39" t="s">
        <v>186</v>
      </c>
      <c r="M339" s="699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19"/>
        <v>4</v>
      </c>
      <c r="C340" s="195">
        <v>41027</v>
      </c>
      <c r="D340" s="195" t="s">
        <v>521</v>
      </c>
      <c r="E340" s="195">
        <v>41027</v>
      </c>
      <c r="F340" s="203" t="s">
        <v>780</v>
      </c>
      <c r="G340" s="700" t="s">
        <v>776</v>
      </c>
      <c r="H340" s="7" t="s">
        <v>487</v>
      </c>
      <c r="I340" s="277">
        <v>500</v>
      </c>
      <c r="J340" s="277">
        <v>23149</v>
      </c>
      <c r="K340" s="698">
        <v>11574500</v>
      </c>
      <c r="L340" s="699" t="s">
        <v>186</v>
      </c>
      <c r="M340" s="699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B340" s="689"/>
      <c r="AC340" s="226" t="str">
        <f>IF(ISNA(VLOOKUP(F340,NXT!$C$18:$C$347,1,0)),x,"")</f>
        <v/>
      </c>
      <c r="AD340" s="689"/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19"/>
        <v>4</v>
      </c>
      <c r="C341" s="37">
        <v>41027</v>
      </c>
      <c r="D341" s="195" t="s">
        <v>521</v>
      </c>
      <c r="E341" s="37">
        <v>41027</v>
      </c>
      <c r="F341" s="40" t="s">
        <v>781</v>
      </c>
      <c r="G341" s="580" t="s">
        <v>776</v>
      </c>
      <c r="H341" s="7" t="s">
        <v>487</v>
      </c>
      <c r="I341" s="277">
        <v>100</v>
      </c>
      <c r="J341" s="277">
        <v>40996</v>
      </c>
      <c r="K341" s="38">
        <v>4099600</v>
      </c>
      <c r="L341" s="39" t="s">
        <v>186</v>
      </c>
      <c r="M341" s="699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19"/>
        <v>4</v>
      </c>
      <c r="C342" s="37">
        <v>41027</v>
      </c>
      <c r="D342" s="195" t="s">
        <v>521</v>
      </c>
      <c r="E342" s="37">
        <v>41027</v>
      </c>
      <c r="F342" s="40" t="s">
        <v>573</v>
      </c>
      <c r="G342" s="580" t="s">
        <v>776</v>
      </c>
      <c r="H342" s="7" t="s">
        <v>487</v>
      </c>
      <c r="I342" s="277"/>
      <c r="J342" s="277"/>
      <c r="K342" s="38">
        <v>2774860</v>
      </c>
      <c r="L342" s="39" t="s">
        <v>9</v>
      </c>
      <c r="M342" s="699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B342" s="689"/>
      <c r="AC342" s="689"/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19"/>
        <v>5</v>
      </c>
      <c r="C343" s="37">
        <v>41032</v>
      </c>
      <c r="D343" s="195" t="s">
        <v>404</v>
      </c>
      <c r="E343" s="111">
        <v>41032</v>
      </c>
      <c r="F343" s="40" t="s">
        <v>406</v>
      </c>
      <c r="G343" s="580" t="s">
        <v>401</v>
      </c>
      <c r="H343" s="45" t="s">
        <v>1136</v>
      </c>
      <c r="I343" s="277"/>
      <c r="J343" s="277"/>
      <c r="K343" s="38">
        <v>13717688</v>
      </c>
      <c r="L343" s="39" t="s">
        <v>24</v>
      </c>
      <c r="M343" s="39" t="s">
        <v>311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>x</v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D343" s="689"/>
    </row>
    <row r="344" spans="1:30" s="226" customFormat="1" ht="15.75" customHeight="1">
      <c r="A344" s="219" t="str">
        <f>IF(B344&lt;&gt;"",IF(AND(B344&gt;=_TM1,B344&lt;=_TM2,OR(TH!L344="1111",TH!M344="1111")),TH!D344,""),"")</f>
        <v/>
      </c>
      <c r="B344" s="36">
        <f t="shared" si="19"/>
        <v>5</v>
      </c>
      <c r="C344" s="37">
        <v>41032</v>
      </c>
      <c r="D344" s="195" t="s">
        <v>404</v>
      </c>
      <c r="E344" s="111">
        <v>41032</v>
      </c>
      <c r="F344" s="40" t="s">
        <v>406</v>
      </c>
      <c r="G344" s="580" t="s">
        <v>401</v>
      </c>
      <c r="H344" s="7" t="s">
        <v>1131</v>
      </c>
      <c r="I344" s="277"/>
      <c r="J344" s="277"/>
      <c r="K344" s="38">
        <v>17841120</v>
      </c>
      <c r="L344" s="39" t="s">
        <v>24</v>
      </c>
      <c r="M344" s="39" t="s">
        <v>311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>x</v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D344" s="689"/>
    </row>
    <row r="345" spans="1:30" s="226" customFormat="1" ht="15.75" customHeight="1">
      <c r="A345" s="219" t="str">
        <f>IF(B345&lt;&gt;"",IF(AND(B345&gt;=_TM1,B345&lt;=_TM2,OR(TH!L345="1111",TH!M345="1111")),TH!D345,""),"")</f>
        <v/>
      </c>
      <c r="B345" s="36">
        <f t="shared" si="19"/>
        <v>5</v>
      </c>
      <c r="C345" s="37">
        <v>41034</v>
      </c>
      <c r="D345" s="195" t="s">
        <v>463</v>
      </c>
      <c r="E345" s="37">
        <v>41034</v>
      </c>
      <c r="F345" s="330" t="s">
        <v>550</v>
      </c>
      <c r="G345" s="580" t="s">
        <v>401</v>
      </c>
      <c r="H345" s="7" t="s">
        <v>706</v>
      </c>
      <c r="I345" s="277"/>
      <c r="J345" s="277"/>
      <c r="K345" s="698">
        <v>36000000</v>
      </c>
      <c r="L345" s="39" t="s">
        <v>49</v>
      </c>
      <c r="M345" s="39" t="s">
        <v>24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>x</v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>x</v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19"/>
        <v>5</v>
      </c>
      <c r="C346" s="37">
        <v>41038</v>
      </c>
      <c r="D346" s="195" t="s">
        <v>404</v>
      </c>
      <c r="E346" s="37">
        <v>41038</v>
      </c>
      <c r="F346" s="330" t="s">
        <v>406</v>
      </c>
      <c r="G346" s="580" t="s">
        <v>401</v>
      </c>
      <c r="H346" s="7" t="s">
        <v>1553</v>
      </c>
      <c r="I346" s="277"/>
      <c r="J346" s="277"/>
      <c r="K346" s="38">
        <v>167687351</v>
      </c>
      <c r="L346" s="39" t="s">
        <v>24</v>
      </c>
      <c r="M346" s="39" t="s">
        <v>311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>x</v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D346" s="689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19"/>
        <v>5</v>
      </c>
      <c r="C347" s="195">
        <v>41039</v>
      </c>
      <c r="D347" s="195" t="s">
        <v>522</v>
      </c>
      <c r="E347" s="195">
        <v>41039</v>
      </c>
      <c r="F347" s="203" t="s">
        <v>782</v>
      </c>
      <c r="G347" s="700" t="s">
        <v>783</v>
      </c>
      <c r="H347" s="7" t="s">
        <v>487</v>
      </c>
      <c r="I347" s="277">
        <v>350</v>
      </c>
      <c r="J347" s="277">
        <v>15429</v>
      </c>
      <c r="K347" s="698">
        <v>5400150</v>
      </c>
      <c r="L347" s="699" t="s">
        <v>186</v>
      </c>
      <c r="M347" s="699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689"/>
      <c r="AC347" s="226" t="str">
        <f>IF(ISNA(VLOOKUP(F347,NXT!$C$18:$C$347,1,0)),x,"")</f>
        <v/>
      </c>
      <c r="AD347" s="689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19"/>
        <v>5</v>
      </c>
      <c r="C348" s="37">
        <v>41039</v>
      </c>
      <c r="D348" s="195" t="s">
        <v>522</v>
      </c>
      <c r="E348" s="205">
        <v>41039</v>
      </c>
      <c r="F348" s="40" t="s">
        <v>784</v>
      </c>
      <c r="G348" s="580" t="s">
        <v>783</v>
      </c>
      <c r="H348" s="7" t="s">
        <v>487</v>
      </c>
      <c r="I348" s="277">
        <v>250</v>
      </c>
      <c r="J348" s="277">
        <v>17722</v>
      </c>
      <c r="K348" s="38">
        <v>4430500</v>
      </c>
      <c r="L348" s="39" t="s">
        <v>186</v>
      </c>
      <c r="M348" s="699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19"/>
        <v>5</v>
      </c>
      <c r="C349" s="37">
        <v>41039</v>
      </c>
      <c r="D349" s="195" t="s">
        <v>522</v>
      </c>
      <c r="E349" s="205">
        <v>41039</v>
      </c>
      <c r="F349" s="40" t="s">
        <v>785</v>
      </c>
      <c r="G349" s="580" t="s">
        <v>783</v>
      </c>
      <c r="H349" s="7" t="s">
        <v>487</v>
      </c>
      <c r="I349" s="277">
        <v>150</v>
      </c>
      <c r="J349" s="277">
        <v>27900</v>
      </c>
      <c r="K349" s="38">
        <v>4185000</v>
      </c>
      <c r="L349" s="39" t="s">
        <v>186</v>
      </c>
      <c r="M349" s="699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19"/>
        <v>5</v>
      </c>
      <c r="C350" s="195">
        <v>41039</v>
      </c>
      <c r="D350" s="195" t="s">
        <v>522</v>
      </c>
      <c r="E350" s="195">
        <v>41039</v>
      </c>
      <c r="F350" s="203" t="s">
        <v>786</v>
      </c>
      <c r="G350" s="700" t="s">
        <v>783</v>
      </c>
      <c r="H350" s="7" t="s">
        <v>487</v>
      </c>
      <c r="I350" s="277">
        <v>100</v>
      </c>
      <c r="J350" s="277">
        <v>23250</v>
      </c>
      <c r="K350" s="698">
        <v>2325000</v>
      </c>
      <c r="L350" s="699" t="s">
        <v>186</v>
      </c>
      <c r="M350" s="699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B350" s="689"/>
      <c r="AC350" s="226" t="str">
        <f>IF(ISNA(VLOOKUP(F350,NXT!$C$18:$C$347,1,0)),x,"")</f>
        <v/>
      </c>
      <c r="AD350" s="689"/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19"/>
        <v>5</v>
      </c>
      <c r="C351" s="195">
        <v>41039</v>
      </c>
      <c r="D351" s="195" t="s">
        <v>522</v>
      </c>
      <c r="E351" s="195">
        <v>41039</v>
      </c>
      <c r="F351" s="203" t="s">
        <v>787</v>
      </c>
      <c r="G351" s="700" t="s">
        <v>783</v>
      </c>
      <c r="H351" s="7" t="s">
        <v>487</v>
      </c>
      <c r="I351" s="277">
        <v>100</v>
      </c>
      <c r="J351" s="277">
        <v>9332</v>
      </c>
      <c r="K351" s="698">
        <v>933200</v>
      </c>
      <c r="L351" s="699" t="s">
        <v>186</v>
      </c>
      <c r="M351" s="699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  <c r="AB351" s="689"/>
      <c r="AC351" s="226" t="str">
        <f>IF(ISNA(VLOOKUP(F351,NXT!$C$18:$C$347,1,0)),x,"")</f>
        <v/>
      </c>
      <c r="AD351" s="689"/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19"/>
        <v>5</v>
      </c>
      <c r="C352" s="195">
        <v>41039</v>
      </c>
      <c r="D352" s="195" t="s">
        <v>522</v>
      </c>
      <c r="E352" s="195">
        <v>41039</v>
      </c>
      <c r="F352" s="203" t="s">
        <v>788</v>
      </c>
      <c r="G352" s="700" t="s">
        <v>783</v>
      </c>
      <c r="H352" s="7" t="s">
        <v>487</v>
      </c>
      <c r="I352" s="277">
        <v>500</v>
      </c>
      <c r="J352" s="277">
        <v>15825</v>
      </c>
      <c r="K352" s="698">
        <v>7912500</v>
      </c>
      <c r="L352" s="699" t="s">
        <v>186</v>
      </c>
      <c r="M352" s="699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B352" s="689"/>
      <c r="AC352" s="226" t="str">
        <f>IF(ISNA(VLOOKUP(F352,NXT!$C$18:$C$347,1,0)),x,"")</f>
        <v/>
      </c>
      <c r="AD352" s="689"/>
    </row>
    <row r="353" spans="1:30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19"/>
        <v>5</v>
      </c>
      <c r="C353" s="195">
        <v>41039</v>
      </c>
      <c r="D353" s="195" t="s">
        <v>522</v>
      </c>
      <c r="E353" s="195">
        <v>41039</v>
      </c>
      <c r="F353" s="203" t="s">
        <v>573</v>
      </c>
      <c r="G353" s="700" t="s">
        <v>783</v>
      </c>
      <c r="H353" s="7" t="s">
        <v>487</v>
      </c>
      <c r="I353" s="277"/>
      <c r="J353" s="277"/>
      <c r="K353" s="698">
        <v>2518635</v>
      </c>
      <c r="L353" s="699" t="s">
        <v>9</v>
      </c>
      <c r="M353" s="699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B353" s="689"/>
      <c r="AC353" s="689"/>
      <c r="AD353" s="689"/>
    </row>
    <row r="354" spans="1:30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19"/>
        <v>5</v>
      </c>
      <c r="C354" s="195">
        <v>41039</v>
      </c>
      <c r="D354" s="195" t="s">
        <v>523</v>
      </c>
      <c r="E354" s="195">
        <v>41039</v>
      </c>
      <c r="F354" s="203" t="s">
        <v>789</v>
      </c>
      <c r="G354" s="700" t="s">
        <v>790</v>
      </c>
      <c r="H354" s="7" t="s">
        <v>487</v>
      </c>
      <c r="I354" s="277">
        <v>250</v>
      </c>
      <c r="J354" s="277">
        <v>22887</v>
      </c>
      <c r="K354" s="698">
        <v>5721750</v>
      </c>
      <c r="L354" s="699" t="s">
        <v>186</v>
      </c>
      <c r="M354" s="699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689"/>
      <c r="AC354" s="226" t="str">
        <f>IF(ISNA(VLOOKUP(F354,NXT!$C$18:$C$347,1,0)),x,"")</f>
        <v/>
      </c>
      <c r="AD354" s="689"/>
    </row>
    <row r="355" spans="1:30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19"/>
        <v>5</v>
      </c>
      <c r="C355" s="37">
        <v>41039</v>
      </c>
      <c r="D355" s="195" t="s">
        <v>523</v>
      </c>
      <c r="E355" s="37">
        <v>41039</v>
      </c>
      <c r="F355" s="40" t="s">
        <v>791</v>
      </c>
      <c r="G355" s="580" t="s">
        <v>790</v>
      </c>
      <c r="H355" s="7" t="s">
        <v>487</v>
      </c>
      <c r="I355" s="277">
        <v>100</v>
      </c>
      <c r="J355" s="277">
        <v>17625</v>
      </c>
      <c r="K355" s="698">
        <v>1762500</v>
      </c>
      <c r="L355" s="39" t="s">
        <v>186</v>
      </c>
      <c r="M355" s="699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30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19"/>
        <v>5</v>
      </c>
      <c r="C356" s="37">
        <v>41039</v>
      </c>
      <c r="D356" s="195" t="s">
        <v>523</v>
      </c>
      <c r="E356" s="37">
        <v>41039</v>
      </c>
      <c r="F356" s="40" t="s">
        <v>792</v>
      </c>
      <c r="G356" s="580" t="s">
        <v>790</v>
      </c>
      <c r="H356" s="7" t="s">
        <v>487</v>
      </c>
      <c r="I356" s="277">
        <v>100</v>
      </c>
      <c r="J356" s="277">
        <v>14463</v>
      </c>
      <c r="K356" s="38">
        <v>1446300</v>
      </c>
      <c r="L356" s="39" t="s">
        <v>186</v>
      </c>
      <c r="M356" s="699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30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19"/>
        <v>5</v>
      </c>
      <c r="C357" s="195">
        <v>41039</v>
      </c>
      <c r="D357" s="195" t="s">
        <v>523</v>
      </c>
      <c r="E357" s="195">
        <v>41039</v>
      </c>
      <c r="F357" s="203" t="s">
        <v>793</v>
      </c>
      <c r="G357" s="700" t="s">
        <v>790</v>
      </c>
      <c r="H357" s="7" t="s">
        <v>487</v>
      </c>
      <c r="I357" s="277">
        <v>500</v>
      </c>
      <c r="J357" s="277">
        <v>18306</v>
      </c>
      <c r="K357" s="698">
        <v>9153000</v>
      </c>
      <c r="L357" s="699" t="s">
        <v>186</v>
      </c>
      <c r="M357" s="699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B357" s="689"/>
      <c r="AC357" s="226" t="str">
        <f>IF(ISNA(VLOOKUP(F357,NXT!$C$18:$C$347,1,0)),x,"")</f>
        <v/>
      </c>
      <c r="AD357" s="689"/>
    </row>
    <row r="358" spans="1:30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19"/>
        <v>5</v>
      </c>
      <c r="C358" s="195">
        <v>41039</v>
      </c>
      <c r="D358" s="195" t="s">
        <v>523</v>
      </c>
      <c r="E358" s="195">
        <v>41039</v>
      </c>
      <c r="F358" s="203" t="s">
        <v>791</v>
      </c>
      <c r="G358" s="700" t="s">
        <v>790</v>
      </c>
      <c r="H358" s="7" t="s">
        <v>487</v>
      </c>
      <c r="I358" s="277">
        <v>250</v>
      </c>
      <c r="J358" s="277">
        <v>18352</v>
      </c>
      <c r="K358" s="698">
        <v>4588000</v>
      </c>
      <c r="L358" s="699" t="s">
        <v>186</v>
      </c>
      <c r="M358" s="699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B358" s="689"/>
      <c r="AC358" s="226" t="str">
        <f>IF(ISNA(VLOOKUP(F358,NXT!$C$18:$C$347,1,0)),x,"")</f>
        <v/>
      </c>
      <c r="AD358" s="689"/>
    </row>
    <row r="359" spans="1:30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19"/>
        <v>5</v>
      </c>
      <c r="C359" s="195">
        <v>41039</v>
      </c>
      <c r="D359" s="195" t="s">
        <v>523</v>
      </c>
      <c r="E359" s="195">
        <v>41039</v>
      </c>
      <c r="F359" s="203" t="s">
        <v>573</v>
      </c>
      <c r="G359" s="700" t="s">
        <v>790</v>
      </c>
      <c r="H359" s="7" t="s">
        <v>487</v>
      </c>
      <c r="I359" s="277"/>
      <c r="J359" s="277"/>
      <c r="K359" s="698">
        <v>2267155</v>
      </c>
      <c r="L359" s="699" t="s">
        <v>9</v>
      </c>
      <c r="M359" s="699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689"/>
      <c r="AC359" s="689"/>
      <c r="AD359" s="689"/>
    </row>
    <row r="360" spans="1:30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19"/>
        <v>5</v>
      </c>
      <c r="C360" s="37">
        <v>41040</v>
      </c>
      <c r="D360" s="195" t="s">
        <v>405</v>
      </c>
      <c r="E360" s="37">
        <v>41040</v>
      </c>
      <c r="F360" s="40" t="s">
        <v>455</v>
      </c>
      <c r="G360" s="580" t="s">
        <v>401</v>
      </c>
      <c r="H360" s="45"/>
      <c r="I360" s="277"/>
      <c r="J360" s="277"/>
      <c r="K360" s="38">
        <v>167598000</v>
      </c>
      <c r="L360" s="39" t="s">
        <v>8</v>
      </c>
      <c r="M360" s="39" t="s">
        <v>24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>x</v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</row>
    <row r="361" spans="1:30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19"/>
        <v>5</v>
      </c>
      <c r="C361" s="37">
        <v>41040</v>
      </c>
      <c r="D361" s="195" t="s">
        <v>405</v>
      </c>
      <c r="E361" s="37">
        <v>41040</v>
      </c>
      <c r="F361" s="40" t="s">
        <v>407</v>
      </c>
      <c r="G361" s="580" t="s">
        <v>401</v>
      </c>
      <c r="H361" s="45"/>
      <c r="I361" s="277"/>
      <c r="J361" s="277"/>
      <c r="K361" s="38">
        <v>83799</v>
      </c>
      <c r="L361" s="39" t="s">
        <v>87</v>
      </c>
      <c r="M361" s="39" t="s">
        <v>24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>x</v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</row>
    <row r="362" spans="1:30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19"/>
        <v>5</v>
      </c>
      <c r="C362" s="195">
        <v>41040</v>
      </c>
      <c r="D362" s="195" t="s">
        <v>468</v>
      </c>
      <c r="E362" s="195">
        <v>41040</v>
      </c>
      <c r="F362" s="203" t="s">
        <v>794</v>
      </c>
      <c r="G362" s="700" t="s">
        <v>795</v>
      </c>
      <c r="H362" s="45" t="s">
        <v>456</v>
      </c>
      <c r="I362" s="277"/>
      <c r="J362" s="277"/>
      <c r="K362" s="698">
        <v>2580000</v>
      </c>
      <c r="L362" s="699" t="s">
        <v>194</v>
      </c>
      <c r="M362" s="699" t="s">
        <v>49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>x</v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689"/>
      <c r="AC362" s="689"/>
      <c r="AD362" s="689"/>
    </row>
    <row r="363" spans="1:30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19"/>
        <v>5</v>
      </c>
      <c r="C363" s="195">
        <v>41040</v>
      </c>
      <c r="D363" s="195" t="s">
        <v>468</v>
      </c>
      <c r="E363" s="195">
        <v>41040</v>
      </c>
      <c r="F363" s="203" t="s">
        <v>413</v>
      </c>
      <c r="G363" s="700" t="s">
        <v>795</v>
      </c>
      <c r="H363" s="7" t="s">
        <v>456</v>
      </c>
      <c r="I363" s="277"/>
      <c r="J363" s="277"/>
      <c r="K363" s="698">
        <v>258000</v>
      </c>
      <c r="L363" s="699" t="s">
        <v>9</v>
      </c>
      <c r="M363" s="699" t="s">
        <v>49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>x</v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689"/>
      <c r="AC363" s="689"/>
      <c r="AD363" s="689"/>
    </row>
    <row r="364" spans="1:30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19"/>
        <v>5</v>
      </c>
      <c r="C364" s="195">
        <v>41040</v>
      </c>
      <c r="D364" s="195" t="s">
        <v>524</v>
      </c>
      <c r="E364" s="195">
        <v>41040</v>
      </c>
      <c r="F364" s="203" t="s">
        <v>796</v>
      </c>
      <c r="G364" s="700" t="s">
        <v>797</v>
      </c>
      <c r="H364" s="7" t="s">
        <v>487</v>
      </c>
      <c r="I364" s="277">
        <v>500</v>
      </c>
      <c r="J364" s="277">
        <v>7510</v>
      </c>
      <c r="K364" s="698">
        <v>3755000</v>
      </c>
      <c r="L364" s="699" t="s">
        <v>186</v>
      </c>
      <c r="M364" s="699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B364" s="689"/>
      <c r="AC364" s="226" t="str">
        <f>IF(ISNA(VLOOKUP(F364,NXT!$C$18:$C$347,1,0)),x,"")</f>
        <v/>
      </c>
      <c r="AD364" s="689"/>
    </row>
    <row r="365" spans="1:30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19"/>
        <v>5</v>
      </c>
      <c r="C365" s="195">
        <v>41040</v>
      </c>
      <c r="D365" s="195" t="s">
        <v>524</v>
      </c>
      <c r="E365" s="195">
        <v>41040</v>
      </c>
      <c r="F365" s="203" t="s">
        <v>798</v>
      </c>
      <c r="G365" s="700" t="s">
        <v>797</v>
      </c>
      <c r="H365" s="7" t="s">
        <v>487</v>
      </c>
      <c r="I365" s="277">
        <v>500</v>
      </c>
      <c r="J365" s="277">
        <v>8316</v>
      </c>
      <c r="K365" s="698">
        <v>4158000</v>
      </c>
      <c r="L365" s="699" t="s">
        <v>186</v>
      </c>
      <c r="M365" s="699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B365" s="689"/>
      <c r="AC365" s="226" t="str">
        <f>IF(ISNA(VLOOKUP(F365,NXT!$C$18:$C$347,1,0)),x,"")</f>
        <v/>
      </c>
      <c r="AD365" s="689"/>
    </row>
    <row r="366" spans="1:30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19"/>
        <v>5</v>
      </c>
      <c r="C366" s="195">
        <v>41040</v>
      </c>
      <c r="D366" s="195" t="s">
        <v>524</v>
      </c>
      <c r="E366" s="195">
        <v>41040</v>
      </c>
      <c r="F366" s="203" t="s">
        <v>799</v>
      </c>
      <c r="G366" s="700" t="s">
        <v>797</v>
      </c>
      <c r="H366" s="7" t="s">
        <v>487</v>
      </c>
      <c r="I366" s="277">
        <v>150</v>
      </c>
      <c r="J366" s="277">
        <v>4864</v>
      </c>
      <c r="K366" s="698">
        <v>729600</v>
      </c>
      <c r="L366" s="699" t="s">
        <v>186</v>
      </c>
      <c r="M366" s="699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B366" s="689"/>
      <c r="AC366" s="226" t="str">
        <f>IF(ISNA(VLOOKUP(F366,NXT!$C$18:$C$347,1,0)),x,"")</f>
        <v/>
      </c>
      <c r="AD366" s="689"/>
    </row>
    <row r="367" spans="1:30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19"/>
        <v>5</v>
      </c>
      <c r="C367" s="37">
        <v>41040</v>
      </c>
      <c r="D367" s="195" t="s">
        <v>524</v>
      </c>
      <c r="E367" s="37">
        <v>41040</v>
      </c>
      <c r="F367" s="40" t="s">
        <v>800</v>
      </c>
      <c r="G367" s="580" t="s">
        <v>797</v>
      </c>
      <c r="H367" s="7" t="s">
        <v>487</v>
      </c>
      <c r="I367" s="277">
        <v>500</v>
      </c>
      <c r="J367" s="277">
        <v>10775</v>
      </c>
      <c r="K367" s="38">
        <v>5387500</v>
      </c>
      <c r="L367" s="39" t="s">
        <v>186</v>
      </c>
      <c r="M367" s="699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  <c r="AC367" s="226" t="str">
        <f>IF(ISNA(VLOOKUP(F367,NXT!$C$18:$C$347,1,0)),x,"")</f>
        <v/>
      </c>
    </row>
    <row r="368" spans="1:30" s="689" customFormat="1" ht="15.75" customHeight="1">
      <c r="A368" s="219" t="str">
        <f>IF(B368&lt;&gt;"",IF(AND(B368&gt;=_TM1,B368&lt;=_TM2,OR(TH!L368="1111",TH!M368="1111")),TH!D368,""),"")</f>
        <v/>
      </c>
      <c r="B368" s="36">
        <f t="shared" si="19"/>
        <v>5</v>
      </c>
      <c r="C368" s="37">
        <v>41040</v>
      </c>
      <c r="D368" s="195" t="s">
        <v>524</v>
      </c>
      <c r="E368" s="37">
        <v>41040</v>
      </c>
      <c r="F368" s="40" t="s">
        <v>764</v>
      </c>
      <c r="G368" s="580" t="s">
        <v>797</v>
      </c>
      <c r="H368" s="7" t="s">
        <v>487</v>
      </c>
      <c r="I368" s="277">
        <v>100</v>
      </c>
      <c r="J368" s="277">
        <v>11150</v>
      </c>
      <c r="K368" s="38">
        <v>1115000</v>
      </c>
      <c r="L368" s="39" t="s">
        <v>186</v>
      </c>
      <c r="M368" s="699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B368" s="226"/>
      <c r="AC368" s="226" t="str">
        <f>IF(ISNA(VLOOKUP(F368,NXT!$C$18:$C$347,1,0)),x,"")</f>
        <v/>
      </c>
      <c r="AD368" s="226"/>
    </row>
    <row r="369" spans="1:30" s="689" customFormat="1" ht="15.75" customHeight="1">
      <c r="A369" s="219" t="str">
        <f>IF(B369&lt;&gt;"",IF(AND(B369&gt;=_TM1,B369&lt;=_TM2,OR(TH!L369="1111",TH!M369="1111")),TH!D369,""),"")</f>
        <v/>
      </c>
      <c r="B369" s="36">
        <f t="shared" si="19"/>
        <v>5</v>
      </c>
      <c r="C369" s="37">
        <v>41040</v>
      </c>
      <c r="D369" s="195" t="s">
        <v>524</v>
      </c>
      <c r="E369" s="37">
        <v>41040</v>
      </c>
      <c r="F369" s="40" t="s">
        <v>573</v>
      </c>
      <c r="G369" s="580" t="s">
        <v>797</v>
      </c>
      <c r="H369" s="7" t="s">
        <v>487</v>
      </c>
      <c r="I369" s="277"/>
      <c r="J369" s="277"/>
      <c r="K369" s="698">
        <v>1514510</v>
      </c>
      <c r="L369" s="39" t="s">
        <v>9</v>
      </c>
      <c r="M369" s="699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226"/>
      <c r="AC369" s="226"/>
      <c r="AD369" s="226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19"/>
        <v>5</v>
      </c>
      <c r="C370" s="37">
        <v>41040</v>
      </c>
      <c r="D370" s="195" t="s">
        <v>525</v>
      </c>
      <c r="E370" s="37">
        <v>41040</v>
      </c>
      <c r="F370" s="40" t="s">
        <v>750</v>
      </c>
      <c r="G370" s="580" t="s">
        <v>801</v>
      </c>
      <c r="H370" s="7" t="s">
        <v>487</v>
      </c>
      <c r="I370" s="277">
        <v>100</v>
      </c>
      <c r="J370" s="277">
        <v>19819</v>
      </c>
      <c r="K370" s="38">
        <v>1981900</v>
      </c>
      <c r="L370" s="39" t="s">
        <v>186</v>
      </c>
      <c r="M370" s="699" t="s">
        <v>8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C370" s="226" t="str">
        <f>IF(ISNA(VLOOKUP(F370,NXT!$C$18:$C$347,1,0)),x,"")</f>
        <v/>
      </c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19"/>
        <v>5</v>
      </c>
      <c r="C371" s="37">
        <v>41040</v>
      </c>
      <c r="D371" s="195" t="s">
        <v>525</v>
      </c>
      <c r="E371" s="37">
        <v>41040</v>
      </c>
      <c r="F371" s="40" t="s">
        <v>802</v>
      </c>
      <c r="G371" s="577" t="s">
        <v>801</v>
      </c>
      <c r="H371" s="7" t="s">
        <v>487</v>
      </c>
      <c r="I371" s="278">
        <v>50</v>
      </c>
      <c r="J371" s="277">
        <v>22224</v>
      </c>
      <c r="K371" s="38">
        <v>1111200</v>
      </c>
      <c r="L371" s="39" t="s">
        <v>186</v>
      </c>
      <c r="M371" s="699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19"/>
        <v>5</v>
      </c>
      <c r="C372" s="37">
        <v>41040</v>
      </c>
      <c r="D372" s="195" t="s">
        <v>525</v>
      </c>
      <c r="E372" s="37">
        <v>41040</v>
      </c>
      <c r="F372" s="40" t="s">
        <v>774</v>
      </c>
      <c r="G372" s="577" t="s">
        <v>801</v>
      </c>
      <c r="H372" s="7" t="s">
        <v>487</v>
      </c>
      <c r="I372" s="278">
        <v>200</v>
      </c>
      <c r="J372" s="277">
        <v>12241</v>
      </c>
      <c r="K372" s="38">
        <v>2448200</v>
      </c>
      <c r="L372" s="39" t="s">
        <v>186</v>
      </c>
      <c r="M372" s="699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19"/>
        <v>5</v>
      </c>
      <c r="C373" s="37">
        <v>41040</v>
      </c>
      <c r="D373" s="195" t="s">
        <v>525</v>
      </c>
      <c r="E373" s="37">
        <v>41040</v>
      </c>
      <c r="F373" s="203" t="s">
        <v>803</v>
      </c>
      <c r="G373" s="580" t="s">
        <v>801</v>
      </c>
      <c r="H373" s="7" t="s">
        <v>487</v>
      </c>
      <c r="I373" s="277">
        <v>200</v>
      </c>
      <c r="J373" s="277">
        <v>14000</v>
      </c>
      <c r="K373" s="698">
        <v>2800000</v>
      </c>
      <c r="L373" s="39" t="s">
        <v>186</v>
      </c>
      <c r="M373" s="699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19"/>
        <v>5</v>
      </c>
      <c r="C374" s="37">
        <v>41040</v>
      </c>
      <c r="D374" s="195" t="s">
        <v>525</v>
      </c>
      <c r="E374" s="37">
        <v>41040</v>
      </c>
      <c r="F374" s="203" t="s">
        <v>804</v>
      </c>
      <c r="G374" s="580" t="s">
        <v>801</v>
      </c>
      <c r="H374" s="7" t="s">
        <v>487</v>
      </c>
      <c r="I374" s="277">
        <v>100</v>
      </c>
      <c r="J374" s="277">
        <v>14562</v>
      </c>
      <c r="K374" s="38">
        <v>1456200</v>
      </c>
      <c r="L374" s="39" t="s">
        <v>186</v>
      </c>
      <c r="M374" s="699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  <c r="AC374" s="226" t="str">
        <f>IF(ISNA(VLOOKUP(F374,NXT!$C$18:$C$347,1,0)),x,"")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19"/>
        <v>5</v>
      </c>
      <c r="C375" s="37">
        <v>41040</v>
      </c>
      <c r="D375" s="195" t="s">
        <v>525</v>
      </c>
      <c r="E375" s="37">
        <v>41040</v>
      </c>
      <c r="F375" s="40" t="s">
        <v>805</v>
      </c>
      <c r="G375" s="580" t="s">
        <v>801</v>
      </c>
      <c r="H375" s="7" t="s">
        <v>487</v>
      </c>
      <c r="I375" s="278">
        <v>200</v>
      </c>
      <c r="J375" s="278">
        <v>15618</v>
      </c>
      <c r="K375" s="38">
        <v>3123600</v>
      </c>
      <c r="L375" s="39" t="s">
        <v>186</v>
      </c>
      <c r="M375" s="699" t="s">
        <v>8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  <c r="AC375" s="226" t="str">
        <f>IF(ISNA(VLOOKUP(F375,NXT!$C$18:$C$347,1,0)),x,"")</f>
        <v/>
      </c>
    </row>
    <row r="376" spans="1:30" s="689" customFormat="1" ht="15.75" customHeight="1">
      <c r="A376" s="219" t="str">
        <f>IF(B376&lt;&gt;"",IF(AND(B376&gt;=_TM1,B376&lt;=_TM2,OR(TH!L376="1111",TH!M376="1111")),TH!D376,""),"")</f>
        <v/>
      </c>
      <c r="B376" s="36">
        <f t="shared" ref="B376:B439" si="20">IF(C376&lt;&gt;"",MONTH(C376),"")</f>
        <v>5</v>
      </c>
      <c r="C376" s="37">
        <v>41040</v>
      </c>
      <c r="D376" s="195" t="s">
        <v>525</v>
      </c>
      <c r="E376" s="37">
        <v>41040</v>
      </c>
      <c r="F376" s="40" t="s">
        <v>573</v>
      </c>
      <c r="G376" s="580" t="s">
        <v>801</v>
      </c>
      <c r="H376" s="7" t="s">
        <v>487</v>
      </c>
      <c r="I376" s="277"/>
      <c r="J376" s="277"/>
      <c r="K376" s="38">
        <v>1292110</v>
      </c>
      <c r="L376" s="39" t="s">
        <v>9</v>
      </c>
      <c r="M376" s="699" t="s">
        <v>8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  <c r="AB376" s="226"/>
      <c r="AC376" s="226"/>
      <c r="AD376" s="226"/>
    </row>
    <row r="377" spans="1:30" s="689" customFormat="1" ht="15.75" customHeight="1">
      <c r="A377" s="219" t="str">
        <f>IF(B377&lt;&gt;"",IF(AND(B377&gt;=_TM1,B377&lt;=_TM2,OR(TH!L377="1111",TH!M377="1111")),TH!D377,""),"")</f>
        <v/>
      </c>
      <c r="B377" s="36">
        <f t="shared" si="20"/>
        <v>5</v>
      </c>
      <c r="C377" s="195">
        <v>41041</v>
      </c>
      <c r="D377" s="195" t="s">
        <v>526</v>
      </c>
      <c r="E377" s="195">
        <v>41041</v>
      </c>
      <c r="F377" s="203" t="s">
        <v>806</v>
      </c>
      <c r="G377" s="700" t="s">
        <v>807</v>
      </c>
      <c r="H377" s="7" t="s">
        <v>487</v>
      </c>
      <c r="I377" s="277">
        <v>50</v>
      </c>
      <c r="J377" s="277">
        <v>17408</v>
      </c>
      <c r="K377" s="698">
        <v>870400</v>
      </c>
      <c r="L377" s="699" t="s">
        <v>186</v>
      </c>
      <c r="M377" s="699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20"/>
        <v>5</v>
      </c>
      <c r="C378" s="195">
        <v>41041</v>
      </c>
      <c r="D378" s="195" t="s">
        <v>526</v>
      </c>
      <c r="E378" s="195">
        <v>41041</v>
      </c>
      <c r="F378" s="203" t="s">
        <v>568</v>
      </c>
      <c r="G378" s="700" t="s">
        <v>807</v>
      </c>
      <c r="H378" s="7" t="s">
        <v>487</v>
      </c>
      <c r="I378" s="277">
        <v>500</v>
      </c>
      <c r="J378" s="277">
        <v>11227</v>
      </c>
      <c r="K378" s="698">
        <v>5613500</v>
      </c>
      <c r="L378" s="699" t="s">
        <v>186</v>
      </c>
      <c r="M378" s="699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B378" s="689"/>
      <c r="AC378" s="226" t="str">
        <f>IF(ISNA(VLOOKUP(F378,NXT!$C$18:$C$347,1,0)),x,"")</f>
        <v/>
      </c>
      <c r="AD378" s="689"/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20"/>
        <v>5</v>
      </c>
      <c r="C379" s="195">
        <v>41041</v>
      </c>
      <c r="D379" s="195" t="s">
        <v>526</v>
      </c>
      <c r="E379" s="195">
        <v>41041</v>
      </c>
      <c r="F379" s="203" t="s">
        <v>808</v>
      </c>
      <c r="G379" s="700" t="s">
        <v>807</v>
      </c>
      <c r="H379" s="7" t="s">
        <v>487</v>
      </c>
      <c r="I379" s="277">
        <v>730</v>
      </c>
      <c r="J379" s="277">
        <v>9122</v>
      </c>
      <c r="K379" s="698">
        <v>6659060</v>
      </c>
      <c r="L379" s="699" t="s">
        <v>186</v>
      </c>
      <c r="M379" s="699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689"/>
      <c r="AC379" s="226" t="str">
        <f>IF(ISNA(VLOOKUP(F379,NXT!$C$18:$C$347,1,0)),x,"")</f>
        <v/>
      </c>
      <c r="AD379" s="689"/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20"/>
        <v>5</v>
      </c>
      <c r="C380" s="195">
        <v>41041</v>
      </c>
      <c r="D380" s="195" t="s">
        <v>526</v>
      </c>
      <c r="E380" s="195">
        <v>41041</v>
      </c>
      <c r="F380" s="203" t="s">
        <v>809</v>
      </c>
      <c r="G380" s="700" t="s">
        <v>807</v>
      </c>
      <c r="H380" s="7" t="s">
        <v>487</v>
      </c>
      <c r="I380" s="277">
        <v>100</v>
      </c>
      <c r="J380" s="277">
        <v>18559</v>
      </c>
      <c r="K380" s="698">
        <v>1855900</v>
      </c>
      <c r="L380" s="699" t="s">
        <v>186</v>
      </c>
      <c r="M380" s="699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689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20"/>
        <v>5</v>
      </c>
      <c r="C381" s="37">
        <v>41041</v>
      </c>
      <c r="D381" s="195" t="s">
        <v>526</v>
      </c>
      <c r="E381" s="37">
        <v>41041</v>
      </c>
      <c r="F381" s="330" t="s">
        <v>810</v>
      </c>
      <c r="G381" s="580" t="s">
        <v>807</v>
      </c>
      <c r="H381" s="7" t="s">
        <v>487</v>
      </c>
      <c r="I381" s="277">
        <v>100</v>
      </c>
      <c r="J381" s="277">
        <v>25240</v>
      </c>
      <c r="K381" s="698">
        <v>2524000</v>
      </c>
      <c r="L381" s="39" t="s">
        <v>186</v>
      </c>
      <c r="M381" s="699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C381" s="226" t="str">
        <f>IF(ISNA(VLOOKUP(F381,NXT!$C$18:$C$347,1,0)),x,"")</f>
        <v/>
      </c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20"/>
        <v>5</v>
      </c>
      <c r="C382" s="37">
        <v>41041</v>
      </c>
      <c r="D382" s="195" t="s">
        <v>526</v>
      </c>
      <c r="E382" s="37">
        <v>41041</v>
      </c>
      <c r="F382" s="330" t="s">
        <v>811</v>
      </c>
      <c r="G382" s="580" t="s">
        <v>807</v>
      </c>
      <c r="H382" s="7" t="s">
        <v>487</v>
      </c>
      <c r="I382" s="278">
        <v>100</v>
      </c>
      <c r="J382" s="278">
        <v>30012</v>
      </c>
      <c r="K382" s="38">
        <v>3001200</v>
      </c>
      <c r="L382" s="39" t="s">
        <v>186</v>
      </c>
      <c r="M382" s="699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20"/>
        <v>5</v>
      </c>
      <c r="C383" s="37">
        <v>41041</v>
      </c>
      <c r="D383" s="195" t="s">
        <v>526</v>
      </c>
      <c r="E383" s="37">
        <v>41041</v>
      </c>
      <c r="F383" s="330" t="s">
        <v>573</v>
      </c>
      <c r="G383" s="580" t="s">
        <v>807</v>
      </c>
      <c r="H383" s="7" t="s">
        <v>487</v>
      </c>
      <c r="I383" s="278"/>
      <c r="J383" s="278"/>
      <c r="K383" s="698">
        <v>2052406</v>
      </c>
      <c r="L383" s="39" t="s">
        <v>9</v>
      </c>
      <c r="M383" s="699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20"/>
        <v>5</v>
      </c>
      <c r="C384" s="37">
        <v>41043</v>
      </c>
      <c r="D384" s="195" t="s">
        <v>527</v>
      </c>
      <c r="E384" s="37">
        <v>41043</v>
      </c>
      <c r="F384" s="40" t="s">
        <v>808</v>
      </c>
      <c r="G384" s="580" t="s">
        <v>812</v>
      </c>
      <c r="H384" s="7" t="s">
        <v>487</v>
      </c>
      <c r="I384" s="277">
        <v>270</v>
      </c>
      <c r="J384" s="277">
        <v>9122</v>
      </c>
      <c r="K384" s="38">
        <v>2462940</v>
      </c>
      <c r="L384" s="39" t="s">
        <v>186</v>
      </c>
      <c r="M384" s="699" t="s">
        <v>8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C384" s="226" t="str">
        <f>IF(ISNA(VLOOKUP(F384,NXT!$C$18:$C$347,1,0)),x,"")</f>
        <v/>
      </c>
    </row>
    <row r="385" spans="1:29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20"/>
        <v>5</v>
      </c>
      <c r="C385" s="37">
        <v>41043</v>
      </c>
      <c r="D385" s="195" t="s">
        <v>527</v>
      </c>
      <c r="E385" s="37">
        <v>41043</v>
      </c>
      <c r="F385" s="40" t="s">
        <v>779</v>
      </c>
      <c r="G385" s="580" t="s">
        <v>812</v>
      </c>
      <c r="H385" s="7" t="s">
        <v>487</v>
      </c>
      <c r="I385" s="277">
        <v>500</v>
      </c>
      <c r="J385" s="277">
        <v>12227</v>
      </c>
      <c r="K385" s="38">
        <v>6113500</v>
      </c>
      <c r="L385" s="39" t="s">
        <v>186</v>
      </c>
      <c r="M385" s="699" t="s">
        <v>8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C385" s="226" t="str">
        <f>IF(ISNA(VLOOKUP(F385,NXT!$C$18:$C$347,1,0)),x,"")</f>
        <v/>
      </c>
    </row>
    <row r="386" spans="1:29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20"/>
        <v>5</v>
      </c>
      <c r="C386" s="195">
        <v>41043</v>
      </c>
      <c r="D386" s="195" t="s">
        <v>527</v>
      </c>
      <c r="E386" s="195">
        <v>41043</v>
      </c>
      <c r="F386" s="847" t="s">
        <v>813</v>
      </c>
      <c r="G386" s="700" t="s">
        <v>812</v>
      </c>
      <c r="H386" s="7" t="s">
        <v>487</v>
      </c>
      <c r="I386" s="277">
        <v>200</v>
      </c>
      <c r="J386" s="277">
        <v>23102</v>
      </c>
      <c r="K386" s="698">
        <v>4620400</v>
      </c>
      <c r="L386" s="699" t="s">
        <v>186</v>
      </c>
      <c r="M386" s="699" t="s">
        <v>8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689"/>
      <c r="AC386" s="226" t="str">
        <f>IF(ISNA(VLOOKUP(F386,NXT!$C$18:$C$347,1,0)),x,"")</f>
        <v/>
      </c>
    </row>
    <row r="387" spans="1:29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20"/>
        <v>5</v>
      </c>
      <c r="C387" s="37">
        <v>41043</v>
      </c>
      <c r="D387" s="195" t="s">
        <v>527</v>
      </c>
      <c r="E387" s="37">
        <v>41043</v>
      </c>
      <c r="F387" s="847" t="s">
        <v>814</v>
      </c>
      <c r="G387" s="833" t="s">
        <v>812</v>
      </c>
      <c r="H387" s="7" t="s">
        <v>487</v>
      </c>
      <c r="I387" s="277">
        <v>410</v>
      </c>
      <c r="J387" s="277">
        <v>12620</v>
      </c>
      <c r="K387" s="698">
        <v>5174200</v>
      </c>
      <c r="L387" s="699" t="s">
        <v>186</v>
      </c>
      <c r="M387" s="699" t="s">
        <v>8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C387" s="226" t="str">
        <f>IF(ISNA(VLOOKUP(F387,NXT!$C$18:$C$347,1,0)),x,"")</f>
        <v/>
      </c>
    </row>
    <row r="388" spans="1:29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20"/>
        <v>5</v>
      </c>
      <c r="C388" s="37">
        <v>41043</v>
      </c>
      <c r="D388" s="195" t="s">
        <v>527</v>
      </c>
      <c r="E388" s="37">
        <v>41043</v>
      </c>
      <c r="F388" s="203" t="s">
        <v>815</v>
      </c>
      <c r="G388" s="833" t="s">
        <v>812</v>
      </c>
      <c r="H388" s="7" t="s">
        <v>487</v>
      </c>
      <c r="I388" s="277">
        <v>1232</v>
      </c>
      <c r="J388" s="277">
        <v>17539</v>
      </c>
      <c r="K388" s="698">
        <v>21608048</v>
      </c>
      <c r="L388" s="699" t="s">
        <v>186</v>
      </c>
      <c r="M388" s="699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C388" s="226" t="str">
        <f>IF(ISNA(VLOOKUP(F388,NXT!$C$18:$C$347,1,0)),x,"")</f>
        <v/>
      </c>
    </row>
    <row r="389" spans="1:29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20"/>
        <v>5</v>
      </c>
      <c r="C389" s="37">
        <v>41043</v>
      </c>
      <c r="D389" s="195" t="s">
        <v>527</v>
      </c>
      <c r="E389" s="37">
        <v>41043</v>
      </c>
      <c r="F389" s="40" t="s">
        <v>816</v>
      </c>
      <c r="G389" s="833" t="s">
        <v>812</v>
      </c>
      <c r="H389" s="7" t="s">
        <v>487</v>
      </c>
      <c r="I389" s="277">
        <v>250</v>
      </c>
      <c r="J389" s="277">
        <v>15680</v>
      </c>
      <c r="K389" s="38">
        <v>3920000</v>
      </c>
      <c r="L389" s="39" t="s">
        <v>186</v>
      </c>
      <c r="M389" s="699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29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20"/>
        <v>5</v>
      </c>
      <c r="C390" s="37">
        <v>41043</v>
      </c>
      <c r="D390" s="195" t="s">
        <v>527</v>
      </c>
      <c r="E390" s="111">
        <v>41043</v>
      </c>
      <c r="F390" s="848" t="s">
        <v>814</v>
      </c>
      <c r="G390" s="580" t="s">
        <v>812</v>
      </c>
      <c r="H390" s="7" t="s">
        <v>487</v>
      </c>
      <c r="I390" s="280">
        <v>90</v>
      </c>
      <c r="J390" s="280">
        <v>12620</v>
      </c>
      <c r="K390" s="112">
        <v>1135800</v>
      </c>
      <c r="L390" s="39" t="s">
        <v>186</v>
      </c>
      <c r="M390" s="699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  <c r="AC390" s="226" t="str">
        <f>IF(ISNA(VLOOKUP(F390,NXT!$C$18:$C$347,1,0)),x,"")</f>
        <v/>
      </c>
    </row>
    <row r="391" spans="1:29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20"/>
        <v>5</v>
      </c>
      <c r="C391" s="195">
        <v>41043</v>
      </c>
      <c r="D391" s="195" t="s">
        <v>527</v>
      </c>
      <c r="E391" s="195">
        <v>41043</v>
      </c>
      <c r="F391" s="847" t="s">
        <v>764</v>
      </c>
      <c r="G391" s="700" t="s">
        <v>812</v>
      </c>
      <c r="H391" s="7" t="s">
        <v>487</v>
      </c>
      <c r="I391" s="277">
        <v>250</v>
      </c>
      <c r="J391" s="277">
        <v>11150</v>
      </c>
      <c r="K391" s="698">
        <v>2787500</v>
      </c>
      <c r="L391" s="699" t="s">
        <v>186</v>
      </c>
      <c r="M391" s="699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>x</v>
      </c>
      <c r="AB391" s="689"/>
      <c r="AC391" s="226" t="str">
        <f>IF(ISNA(VLOOKUP(F391,NXT!$C$18:$C$347,1,0)),x,"")</f>
        <v/>
      </c>
    </row>
    <row r="392" spans="1:29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20"/>
        <v>5</v>
      </c>
      <c r="C392" s="195">
        <v>41043</v>
      </c>
      <c r="D392" s="195" t="s">
        <v>527</v>
      </c>
      <c r="E392" s="195">
        <v>41043</v>
      </c>
      <c r="F392" s="203" t="s">
        <v>573</v>
      </c>
      <c r="G392" s="700" t="s">
        <v>812</v>
      </c>
      <c r="H392" s="7" t="s">
        <v>487</v>
      </c>
      <c r="I392" s="277"/>
      <c r="J392" s="277"/>
      <c r="K392" s="698">
        <v>4782239</v>
      </c>
      <c r="L392" s="699" t="s">
        <v>9</v>
      </c>
      <c r="M392" s="699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  <c r="AB392" s="689"/>
      <c r="AC392" s="689"/>
    </row>
    <row r="393" spans="1:29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20"/>
        <v>5</v>
      </c>
      <c r="C393" s="195">
        <v>41044</v>
      </c>
      <c r="D393" s="195" t="s">
        <v>528</v>
      </c>
      <c r="E393" s="195">
        <v>41044</v>
      </c>
      <c r="F393" s="203" t="s">
        <v>721</v>
      </c>
      <c r="G393" s="700" t="s">
        <v>817</v>
      </c>
      <c r="H393" s="7" t="s">
        <v>487</v>
      </c>
      <c r="I393" s="277">
        <v>300</v>
      </c>
      <c r="J393" s="277">
        <v>11176</v>
      </c>
      <c r="K393" s="698">
        <v>3352800</v>
      </c>
      <c r="L393" s="699" t="s">
        <v>186</v>
      </c>
      <c r="M393" s="699" t="s">
        <v>8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  <c r="AB393" s="689"/>
      <c r="AC393" s="226" t="str">
        <f>IF(ISNA(VLOOKUP(F393,NXT!$C$18:$C$347,1,0)),x,"")</f>
        <v/>
      </c>
    </row>
    <row r="394" spans="1:29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20"/>
        <v>5</v>
      </c>
      <c r="C394" s="195">
        <v>41044</v>
      </c>
      <c r="D394" s="195" t="s">
        <v>528</v>
      </c>
      <c r="E394" s="195">
        <v>41044</v>
      </c>
      <c r="F394" s="203" t="s">
        <v>818</v>
      </c>
      <c r="G394" s="700" t="s">
        <v>817</v>
      </c>
      <c r="H394" s="7" t="s">
        <v>487</v>
      </c>
      <c r="I394" s="277">
        <v>150</v>
      </c>
      <c r="J394" s="277">
        <v>6912</v>
      </c>
      <c r="K394" s="698">
        <v>1036800</v>
      </c>
      <c r="L394" s="699" t="s">
        <v>186</v>
      </c>
      <c r="M394" s="699" t="s">
        <v>8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  <c r="AB394" s="689"/>
      <c r="AC394" s="226" t="str">
        <f>IF(ISNA(VLOOKUP(F394,NXT!$C$18:$C$347,1,0)),x,"")</f>
        <v/>
      </c>
    </row>
    <row r="395" spans="1:29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20"/>
        <v>5</v>
      </c>
      <c r="C395" s="195">
        <v>41044</v>
      </c>
      <c r="D395" s="195" t="s">
        <v>528</v>
      </c>
      <c r="E395" s="195">
        <v>41044</v>
      </c>
      <c r="F395" s="203" t="s">
        <v>806</v>
      </c>
      <c r="G395" s="700" t="s">
        <v>817</v>
      </c>
      <c r="H395" s="7" t="s">
        <v>487</v>
      </c>
      <c r="I395" s="277">
        <v>100</v>
      </c>
      <c r="J395" s="277">
        <v>13200</v>
      </c>
      <c r="K395" s="698">
        <v>1320000</v>
      </c>
      <c r="L395" s="699" t="s">
        <v>186</v>
      </c>
      <c r="M395" s="699" t="s">
        <v>8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  <c r="AB395" s="689"/>
      <c r="AC395" s="226" t="str">
        <f>IF(ISNA(VLOOKUP(F395,NXT!$C$18:$C$347,1,0)),x,"")</f>
        <v/>
      </c>
    </row>
    <row r="396" spans="1:29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20"/>
        <v>5</v>
      </c>
      <c r="C396" s="37">
        <v>41044</v>
      </c>
      <c r="D396" s="195" t="s">
        <v>528</v>
      </c>
      <c r="E396" s="37">
        <v>41044</v>
      </c>
      <c r="F396" s="40" t="s">
        <v>819</v>
      </c>
      <c r="G396" s="580" t="s">
        <v>817</v>
      </c>
      <c r="H396" s="7" t="s">
        <v>487</v>
      </c>
      <c r="I396" s="277">
        <v>300</v>
      </c>
      <c r="J396" s="277">
        <v>9272</v>
      </c>
      <c r="K396" s="698">
        <v>2781600</v>
      </c>
      <c r="L396" s="39" t="s">
        <v>186</v>
      </c>
      <c r="M396" s="699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29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20"/>
        <v>5</v>
      </c>
      <c r="C397" s="37">
        <v>41044</v>
      </c>
      <c r="D397" s="195" t="s">
        <v>528</v>
      </c>
      <c r="E397" s="37">
        <v>41044</v>
      </c>
      <c r="F397" s="40" t="s">
        <v>820</v>
      </c>
      <c r="G397" s="580" t="s">
        <v>817</v>
      </c>
      <c r="H397" s="7" t="s">
        <v>487</v>
      </c>
      <c r="I397" s="277">
        <v>134</v>
      </c>
      <c r="J397" s="277">
        <v>12985</v>
      </c>
      <c r="K397" s="38">
        <v>1739990</v>
      </c>
      <c r="L397" s="39" t="s">
        <v>186</v>
      </c>
      <c r="M397" s="699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C397" s="226" t="str">
        <f>IF(ISNA(VLOOKUP(F397,NXT!$C$18:$C$347,1,0)),x,"")</f>
        <v/>
      </c>
    </row>
    <row r="398" spans="1:29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20"/>
        <v>5</v>
      </c>
      <c r="C398" s="37">
        <v>41044</v>
      </c>
      <c r="D398" s="195" t="s">
        <v>528</v>
      </c>
      <c r="E398" s="37">
        <v>41044</v>
      </c>
      <c r="F398" s="40" t="s">
        <v>821</v>
      </c>
      <c r="G398" s="580" t="s">
        <v>817</v>
      </c>
      <c r="H398" s="7" t="s">
        <v>487</v>
      </c>
      <c r="I398" s="277">
        <v>134</v>
      </c>
      <c r="J398" s="277">
        <v>17376</v>
      </c>
      <c r="K398" s="698">
        <v>2328384</v>
      </c>
      <c r="L398" s="39" t="s">
        <v>186</v>
      </c>
      <c r="M398" s="699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29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20"/>
        <v>5</v>
      </c>
      <c r="C399" s="37">
        <v>41044</v>
      </c>
      <c r="D399" s="195" t="s">
        <v>528</v>
      </c>
      <c r="E399" s="37">
        <v>41044</v>
      </c>
      <c r="F399" s="40" t="s">
        <v>573</v>
      </c>
      <c r="G399" s="580" t="s">
        <v>817</v>
      </c>
      <c r="H399" s="7" t="s">
        <v>487</v>
      </c>
      <c r="I399" s="277"/>
      <c r="J399" s="277"/>
      <c r="K399" s="38">
        <v>1255957</v>
      </c>
      <c r="L399" s="39" t="s">
        <v>9</v>
      </c>
      <c r="M399" s="699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</row>
    <row r="400" spans="1:29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20"/>
        <v>5</v>
      </c>
      <c r="C400" s="37">
        <v>41045</v>
      </c>
      <c r="D400" s="195" t="s">
        <v>528</v>
      </c>
      <c r="E400" s="37">
        <v>41045</v>
      </c>
      <c r="F400" s="40" t="s">
        <v>822</v>
      </c>
      <c r="G400" s="580" t="s">
        <v>823</v>
      </c>
      <c r="H400" s="7" t="s">
        <v>487</v>
      </c>
      <c r="I400" s="277">
        <v>425</v>
      </c>
      <c r="J400" s="277">
        <v>29100</v>
      </c>
      <c r="K400" s="38">
        <v>12367500</v>
      </c>
      <c r="L400" s="39" t="s">
        <v>186</v>
      </c>
      <c r="M400" s="699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  <c r="AC400" s="226" t="str">
        <f>IF(ISNA(VLOOKUP(F400,NXT!$C$18:$C$347,1,0)),x,"")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20"/>
        <v>5</v>
      </c>
      <c r="C401" s="195">
        <v>41045</v>
      </c>
      <c r="D401" s="195" t="s">
        <v>528</v>
      </c>
      <c r="E401" s="195">
        <v>41045</v>
      </c>
      <c r="F401" s="203" t="s">
        <v>573</v>
      </c>
      <c r="G401" s="700" t="s">
        <v>823</v>
      </c>
      <c r="H401" s="7" t="s">
        <v>487</v>
      </c>
      <c r="I401" s="277"/>
      <c r="J401" s="277"/>
      <c r="K401" s="698">
        <v>1236750</v>
      </c>
      <c r="L401" s="699" t="s">
        <v>9</v>
      </c>
      <c r="M401" s="699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B401" s="689"/>
      <c r="AC401" s="689"/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20"/>
        <v>5</v>
      </c>
      <c r="C402" s="195">
        <v>41047</v>
      </c>
      <c r="D402" s="195" t="s">
        <v>404</v>
      </c>
      <c r="E402" s="195">
        <v>41047</v>
      </c>
      <c r="F402" s="203" t="s">
        <v>406</v>
      </c>
      <c r="G402" s="700" t="s">
        <v>401</v>
      </c>
      <c r="H402" s="7" t="s">
        <v>1133</v>
      </c>
      <c r="I402" s="277"/>
      <c r="J402" s="277"/>
      <c r="K402" s="698">
        <v>20157000</v>
      </c>
      <c r="L402" s="699" t="s">
        <v>24</v>
      </c>
      <c r="M402" s="699" t="s">
        <v>311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>x</v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B402" s="689"/>
      <c r="AC402" s="689"/>
      <c r="AD402" s="689"/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20"/>
        <v>5</v>
      </c>
      <c r="C403" s="37">
        <v>41047</v>
      </c>
      <c r="D403" s="195" t="s">
        <v>529</v>
      </c>
      <c r="E403" s="37">
        <v>41047</v>
      </c>
      <c r="F403" s="40" t="s">
        <v>824</v>
      </c>
      <c r="G403" s="580" t="s">
        <v>825</v>
      </c>
      <c r="H403" s="7" t="s">
        <v>487</v>
      </c>
      <c r="I403" s="277">
        <v>100</v>
      </c>
      <c r="J403" s="277">
        <v>21728</v>
      </c>
      <c r="K403" s="698">
        <v>2172800</v>
      </c>
      <c r="L403" s="39" t="s">
        <v>186</v>
      </c>
      <c r="M403" s="699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20"/>
        <v>5</v>
      </c>
      <c r="C404" s="37">
        <v>41047</v>
      </c>
      <c r="D404" s="195" t="s">
        <v>529</v>
      </c>
      <c r="E404" s="37">
        <v>41047</v>
      </c>
      <c r="F404" s="40" t="s">
        <v>826</v>
      </c>
      <c r="G404" s="580" t="s">
        <v>825</v>
      </c>
      <c r="H404" s="7" t="s">
        <v>487</v>
      </c>
      <c r="I404" s="277">
        <v>340</v>
      </c>
      <c r="J404" s="277">
        <v>22301</v>
      </c>
      <c r="K404" s="38">
        <v>7582340</v>
      </c>
      <c r="L404" s="39" t="s">
        <v>186</v>
      </c>
      <c r="M404" s="699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20"/>
        <v>5</v>
      </c>
      <c r="C405" s="37">
        <v>41047</v>
      </c>
      <c r="D405" s="195" t="s">
        <v>529</v>
      </c>
      <c r="E405" s="37">
        <v>41047</v>
      </c>
      <c r="F405" s="203" t="s">
        <v>800</v>
      </c>
      <c r="G405" s="580" t="s">
        <v>825</v>
      </c>
      <c r="H405" s="7" t="s">
        <v>487</v>
      </c>
      <c r="I405" s="277">
        <v>1000</v>
      </c>
      <c r="J405" s="277">
        <v>10775</v>
      </c>
      <c r="K405" s="698">
        <v>10775000</v>
      </c>
      <c r="L405" s="39" t="s">
        <v>186</v>
      </c>
      <c r="M405" s="699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20"/>
        <v>5</v>
      </c>
      <c r="C406" s="37">
        <v>41047</v>
      </c>
      <c r="D406" s="195" t="s">
        <v>529</v>
      </c>
      <c r="E406" s="37">
        <v>41047</v>
      </c>
      <c r="F406" s="203" t="s">
        <v>573</v>
      </c>
      <c r="G406" s="580" t="s">
        <v>825</v>
      </c>
      <c r="H406" s="7" t="s">
        <v>487</v>
      </c>
      <c r="I406" s="277"/>
      <c r="J406" s="277"/>
      <c r="K406" s="38">
        <v>2053014</v>
      </c>
      <c r="L406" s="39" t="s">
        <v>9</v>
      </c>
      <c r="M406" s="699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20"/>
        <v>5</v>
      </c>
      <c r="C407" s="37">
        <v>41048</v>
      </c>
      <c r="D407" s="37" t="s">
        <v>469</v>
      </c>
      <c r="E407" s="37">
        <v>41048</v>
      </c>
      <c r="F407" s="848" t="s">
        <v>827</v>
      </c>
      <c r="G407" s="580" t="s">
        <v>828</v>
      </c>
      <c r="H407" s="7" t="s">
        <v>456</v>
      </c>
      <c r="I407" s="278"/>
      <c r="J407" s="278"/>
      <c r="K407" s="38">
        <v>6200000</v>
      </c>
      <c r="L407" s="39" t="s">
        <v>194</v>
      </c>
      <c r="M407" s="39" t="s">
        <v>49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>x</v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si="20"/>
        <v>5</v>
      </c>
      <c r="C408" s="37">
        <v>41048</v>
      </c>
      <c r="D408" s="37" t="s">
        <v>469</v>
      </c>
      <c r="E408" s="37">
        <v>41048</v>
      </c>
      <c r="F408" s="40" t="s">
        <v>413</v>
      </c>
      <c r="G408" s="580" t="s">
        <v>828</v>
      </c>
      <c r="H408" s="45" t="s">
        <v>456</v>
      </c>
      <c r="I408" s="277"/>
      <c r="J408" s="277"/>
      <c r="K408" s="38">
        <v>620000</v>
      </c>
      <c r="L408" s="39" t="s">
        <v>9</v>
      </c>
      <c r="M408" s="699" t="s">
        <v>49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>x</v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20"/>
        <v>5</v>
      </c>
      <c r="C409" s="37">
        <v>41048</v>
      </c>
      <c r="D409" s="195" t="s">
        <v>530</v>
      </c>
      <c r="E409" s="37">
        <v>41048</v>
      </c>
      <c r="F409" s="40" t="s">
        <v>829</v>
      </c>
      <c r="G409" s="577" t="s">
        <v>830</v>
      </c>
      <c r="H409" s="7" t="s">
        <v>487</v>
      </c>
      <c r="I409" s="278">
        <v>1000</v>
      </c>
      <c r="J409" s="277">
        <v>10752</v>
      </c>
      <c r="K409" s="38">
        <v>10752000</v>
      </c>
      <c r="L409" s="39" t="s">
        <v>186</v>
      </c>
      <c r="M409" s="699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  <c r="AC409" s="226" t="str">
        <f>IF(ISNA(VLOOKUP(F409,NXT!$C$18:$C$347,1,0)),x,"")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20"/>
        <v>5</v>
      </c>
      <c r="C410" s="37">
        <v>41048</v>
      </c>
      <c r="D410" s="195" t="s">
        <v>530</v>
      </c>
      <c r="E410" s="37">
        <v>41048</v>
      </c>
      <c r="F410" s="40" t="s">
        <v>831</v>
      </c>
      <c r="G410" s="577" t="s">
        <v>830</v>
      </c>
      <c r="H410" s="7" t="s">
        <v>487</v>
      </c>
      <c r="I410" s="278">
        <v>300</v>
      </c>
      <c r="J410" s="277">
        <v>14553</v>
      </c>
      <c r="K410" s="38">
        <v>4365900</v>
      </c>
      <c r="L410" s="39" t="s">
        <v>186</v>
      </c>
      <c r="M410" s="699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  <c r="AC410" s="226" t="str">
        <f>IF(ISNA(VLOOKUP(F410,NXT!$C$18:$C$347,1,0)),x,"")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20"/>
        <v>5</v>
      </c>
      <c r="C411" s="195">
        <v>41048</v>
      </c>
      <c r="D411" s="195" t="s">
        <v>530</v>
      </c>
      <c r="E411" s="195">
        <v>41048</v>
      </c>
      <c r="F411" s="203" t="s">
        <v>832</v>
      </c>
      <c r="G411" s="700" t="s">
        <v>830</v>
      </c>
      <c r="H411" s="7" t="s">
        <v>487</v>
      </c>
      <c r="I411" s="277">
        <v>250</v>
      </c>
      <c r="J411" s="277">
        <v>12211</v>
      </c>
      <c r="K411" s="698">
        <v>3052750</v>
      </c>
      <c r="L411" s="699" t="s">
        <v>186</v>
      </c>
      <c r="M411" s="699" t="s">
        <v>8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  <c r="AB411" s="689"/>
      <c r="AC411" s="226" t="str">
        <f>IF(ISNA(VLOOKUP(F411,NXT!$C$18:$C$347,1,0)),x,"")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20"/>
        <v>5</v>
      </c>
      <c r="C412" s="195">
        <v>41048</v>
      </c>
      <c r="D412" s="195" t="s">
        <v>530</v>
      </c>
      <c r="E412" s="195">
        <v>41048</v>
      </c>
      <c r="F412" s="203" t="s">
        <v>833</v>
      </c>
      <c r="G412" s="700" t="s">
        <v>830</v>
      </c>
      <c r="H412" s="7" t="s">
        <v>487</v>
      </c>
      <c r="I412" s="277">
        <v>225</v>
      </c>
      <c r="J412" s="277">
        <v>19584</v>
      </c>
      <c r="K412" s="698">
        <v>4406400</v>
      </c>
      <c r="L412" s="699" t="s">
        <v>186</v>
      </c>
      <c r="M412" s="699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B412" s="689"/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20"/>
        <v>5</v>
      </c>
      <c r="C413" s="195">
        <v>41048</v>
      </c>
      <c r="D413" s="195" t="s">
        <v>530</v>
      </c>
      <c r="E413" s="195">
        <v>41048</v>
      </c>
      <c r="F413" s="203" t="s">
        <v>834</v>
      </c>
      <c r="G413" s="700" t="s">
        <v>830</v>
      </c>
      <c r="H413" s="7" t="s">
        <v>487</v>
      </c>
      <c r="I413" s="277">
        <v>225</v>
      </c>
      <c r="J413" s="277">
        <v>29232</v>
      </c>
      <c r="K413" s="698">
        <v>6577200</v>
      </c>
      <c r="L413" s="699" t="s">
        <v>186</v>
      </c>
      <c r="M413" s="699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B413" s="689"/>
      <c r="AC413" s="226" t="str">
        <f>IF(ISNA(VLOOKUP(F413,NXT!$C$18:$C$347,1,0)),x,"")</f>
        <v/>
      </c>
      <c r="AD413" s="689"/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20"/>
        <v>5</v>
      </c>
      <c r="C414" s="37">
        <v>41048</v>
      </c>
      <c r="D414" s="195" t="s">
        <v>530</v>
      </c>
      <c r="E414" s="37">
        <v>41048</v>
      </c>
      <c r="F414" s="40" t="s">
        <v>835</v>
      </c>
      <c r="G414" s="580" t="s">
        <v>830</v>
      </c>
      <c r="H414" s="7" t="s">
        <v>487</v>
      </c>
      <c r="I414" s="277">
        <v>150</v>
      </c>
      <c r="J414" s="277">
        <v>19924</v>
      </c>
      <c r="K414" s="38">
        <v>2988600</v>
      </c>
      <c r="L414" s="39" t="s">
        <v>186</v>
      </c>
      <c r="M414" s="699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20"/>
        <v>5</v>
      </c>
      <c r="C415" s="37">
        <v>41048</v>
      </c>
      <c r="D415" s="195" t="s">
        <v>530</v>
      </c>
      <c r="E415" s="37">
        <v>41048</v>
      </c>
      <c r="F415" s="40" t="s">
        <v>573</v>
      </c>
      <c r="G415" s="580" t="s">
        <v>830</v>
      </c>
      <c r="H415" s="7" t="s">
        <v>487</v>
      </c>
      <c r="I415" s="277"/>
      <c r="J415" s="277"/>
      <c r="K415" s="38">
        <v>3214285</v>
      </c>
      <c r="L415" s="39" t="s">
        <v>9</v>
      </c>
      <c r="M415" s="699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20"/>
        <v>5</v>
      </c>
      <c r="C416" s="195">
        <v>41050</v>
      </c>
      <c r="D416" s="195" t="s">
        <v>405</v>
      </c>
      <c r="E416" s="195">
        <v>41050</v>
      </c>
      <c r="F416" s="203" t="s">
        <v>455</v>
      </c>
      <c r="G416" s="700" t="s">
        <v>401</v>
      </c>
      <c r="H416" s="7"/>
      <c r="I416" s="277"/>
      <c r="J416" s="277"/>
      <c r="K416" s="698">
        <v>15000000</v>
      </c>
      <c r="L416" s="699" t="s">
        <v>8</v>
      </c>
      <c r="M416" s="699" t="s">
        <v>24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>x</v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B416" s="689"/>
      <c r="AC416" s="689"/>
      <c r="AD416" s="689"/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20"/>
        <v>5</v>
      </c>
      <c r="C417" s="195">
        <v>41050</v>
      </c>
      <c r="D417" s="37" t="s">
        <v>405</v>
      </c>
      <c r="E417" s="195">
        <v>41050</v>
      </c>
      <c r="F417" s="847" t="s">
        <v>407</v>
      </c>
      <c r="G417" s="700" t="s">
        <v>401</v>
      </c>
      <c r="H417" s="45"/>
      <c r="I417" s="277"/>
      <c r="J417" s="277"/>
      <c r="K417" s="698">
        <v>20000</v>
      </c>
      <c r="L417" s="699" t="s">
        <v>87</v>
      </c>
      <c r="M417" s="699" t="s">
        <v>24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>x</v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B417" s="689"/>
      <c r="AC417" s="689"/>
      <c r="AD417" s="689"/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20"/>
        <v>5</v>
      </c>
      <c r="C418" s="195">
        <v>41050</v>
      </c>
      <c r="D418" s="195" t="s">
        <v>405</v>
      </c>
      <c r="E418" s="195">
        <v>41050</v>
      </c>
      <c r="F418" s="203" t="s">
        <v>455</v>
      </c>
      <c r="G418" s="700" t="s">
        <v>401</v>
      </c>
      <c r="H418" s="7"/>
      <c r="I418" s="277"/>
      <c r="J418" s="277"/>
      <c r="K418" s="698">
        <v>4664000</v>
      </c>
      <c r="L418" s="699" t="s">
        <v>8</v>
      </c>
      <c r="M418" s="699" t="s">
        <v>24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>x</v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B418" s="689"/>
      <c r="AC418" s="689"/>
      <c r="AD418" s="689"/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20"/>
        <v>5</v>
      </c>
      <c r="C419" s="195">
        <v>41050</v>
      </c>
      <c r="D419" s="195" t="s">
        <v>405</v>
      </c>
      <c r="E419" s="195">
        <v>41050</v>
      </c>
      <c r="F419" s="203" t="s">
        <v>407</v>
      </c>
      <c r="G419" s="700" t="s">
        <v>401</v>
      </c>
      <c r="H419" s="7"/>
      <c r="I419" s="277"/>
      <c r="J419" s="277"/>
      <c r="K419" s="698">
        <v>10000</v>
      </c>
      <c r="L419" s="699" t="s">
        <v>87</v>
      </c>
      <c r="M419" s="699" t="s">
        <v>24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>x</v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  <c r="AB419" s="689"/>
      <c r="AC419" s="689"/>
      <c r="AD419" s="689"/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20"/>
        <v>5</v>
      </c>
      <c r="C420" s="195">
        <v>41051</v>
      </c>
      <c r="D420" s="195" t="s">
        <v>531</v>
      </c>
      <c r="E420" s="195">
        <v>41051</v>
      </c>
      <c r="F420" s="203" t="s">
        <v>836</v>
      </c>
      <c r="G420" s="700" t="s">
        <v>837</v>
      </c>
      <c r="H420" s="7" t="s">
        <v>487</v>
      </c>
      <c r="I420" s="277">
        <v>250</v>
      </c>
      <c r="J420" s="277">
        <v>14726</v>
      </c>
      <c r="K420" s="698">
        <v>3681500</v>
      </c>
      <c r="L420" s="699" t="s">
        <v>186</v>
      </c>
      <c r="M420" s="699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689"/>
      <c r="AC420" s="226" t="str">
        <f>IF(ISNA(VLOOKUP(F420,NXT!$C$18:$C$347,1,0)),x,"")</f>
        <v/>
      </c>
      <c r="AD420" s="689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20"/>
        <v>5</v>
      </c>
      <c r="C421" s="37">
        <v>41051</v>
      </c>
      <c r="D421" s="195" t="s">
        <v>531</v>
      </c>
      <c r="E421" s="37">
        <v>41051</v>
      </c>
      <c r="F421" s="40" t="s">
        <v>838</v>
      </c>
      <c r="G421" s="580" t="s">
        <v>837</v>
      </c>
      <c r="H421" s="7" t="s">
        <v>487</v>
      </c>
      <c r="I421" s="277">
        <v>215</v>
      </c>
      <c r="J421" s="277">
        <v>22361</v>
      </c>
      <c r="K421" s="698">
        <v>4807615</v>
      </c>
      <c r="L421" s="39" t="s">
        <v>186</v>
      </c>
      <c r="M421" s="699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C421" s="226" t="str">
        <f>IF(ISNA(VLOOKUP(F421,NXT!$C$18:$C$347,1,0)),x,"")</f>
        <v/>
      </c>
    </row>
    <row r="422" spans="1:30" s="226" customFormat="1" ht="15.75" customHeight="1">
      <c r="A422" s="219" t="str">
        <f>IF(B422&lt;&gt;"",IF(AND(B422&gt;=_TM1,B422&lt;=_TM2,OR(TH!L422="1111",TH!M422="1111")),TH!D422,""),"")</f>
        <v/>
      </c>
      <c r="B422" s="36">
        <f t="shared" si="20"/>
        <v>5</v>
      </c>
      <c r="C422" s="37">
        <v>41051</v>
      </c>
      <c r="D422" s="195" t="s">
        <v>531</v>
      </c>
      <c r="E422" s="37">
        <v>41051</v>
      </c>
      <c r="F422" s="40" t="s">
        <v>573</v>
      </c>
      <c r="G422" s="580" t="s">
        <v>837</v>
      </c>
      <c r="H422" s="7" t="s">
        <v>487</v>
      </c>
      <c r="I422" s="277"/>
      <c r="J422" s="277"/>
      <c r="K422" s="38">
        <v>848912</v>
      </c>
      <c r="L422" s="39" t="s">
        <v>9</v>
      </c>
      <c r="M422" s="699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20"/>
        <v>5</v>
      </c>
      <c r="C423" s="37">
        <v>41052</v>
      </c>
      <c r="D423" s="37" t="s">
        <v>510</v>
      </c>
      <c r="E423" s="37">
        <v>41052</v>
      </c>
      <c r="F423" s="40" t="s">
        <v>458</v>
      </c>
      <c r="G423" s="580" t="s">
        <v>839</v>
      </c>
      <c r="H423" s="45" t="s">
        <v>460</v>
      </c>
      <c r="I423" s="277">
        <v>100</v>
      </c>
      <c r="J423" s="277">
        <v>25000</v>
      </c>
      <c r="K423" s="698">
        <v>2500000</v>
      </c>
      <c r="L423" s="39" t="s">
        <v>188</v>
      </c>
      <c r="M423" s="699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>x</v>
      </c>
      <c r="Z423" s="55" t="str">
        <f>IF(AND(OR(LEFT(TH!L423,2)="15",LEFT(TH!M423,2)="15"),TK!$E$7=TH!F423),"x","")</f>
        <v>x</v>
      </c>
      <c r="AA423" s="55" t="str">
        <f>IF(AND(B423&lt;=NKC!$N$8,B423&gt;=NKC!$M$8),"x","")</f>
        <v>x</v>
      </c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20"/>
        <v>5</v>
      </c>
      <c r="C424" s="37">
        <v>41052</v>
      </c>
      <c r="D424" s="37" t="s">
        <v>510</v>
      </c>
      <c r="E424" s="37">
        <v>41052</v>
      </c>
      <c r="F424" s="40" t="s">
        <v>459</v>
      </c>
      <c r="G424" s="580" t="s">
        <v>839</v>
      </c>
      <c r="H424" s="45" t="s">
        <v>460</v>
      </c>
      <c r="I424" s="277"/>
      <c r="J424" s="277"/>
      <c r="K424" s="38">
        <v>250000</v>
      </c>
      <c r="L424" s="39" t="s">
        <v>9</v>
      </c>
      <c r="M424" s="699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20"/>
        <v>5</v>
      </c>
      <c r="C425" s="37">
        <v>41052</v>
      </c>
      <c r="D425" s="37" t="s">
        <v>470</v>
      </c>
      <c r="E425" s="37">
        <v>41052</v>
      </c>
      <c r="F425" s="40" t="s">
        <v>455</v>
      </c>
      <c r="G425" s="580" t="s">
        <v>839</v>
      </c>
      <c r="H425" s="45" t="s">
        <v>460</v>
      </c>
      <c r="I425" s="277"/>
      <c r="J425" s="277"/>
      <c r="K425" s="698">
        <v>2750000</v>
      </c>
      <c r="L425" s="39" t="s">
        <v>8</v>
      </c>
      <c r="M425" s="39" t="s">
        <v>49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>x</v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20"/>
        <v>5</v>
      </c>
      <c r="C426" s="37">
        <v>41052</v>
      </c>
      <c r="D426" s="37" t="s">
        <v>471</v>
      </c>
      <c r="E426" s="37">
        <v>41052</v>
      </c>
      <c r="F426" s="40" t="s">
        <v>727</v>
      </c>
      <c r="G426" s="580" t="s">
        <v>840</v>
      </c>
      <c r="H426" s="45" t="s">
        <v>456</v>
      </c>
      <c r="I426" s="277"/>
      <c r="J426" s="277"/>
      <c r="K426" s="38">
        <v>2600000</v>
      </c>
      <c r="L426" s="39" t="s">
        <v>194</v>
      </c>
      <c r="M426" s="39" t="s">
        <v>49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>x</v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20"/>
        <v>5</v>
      </c>
      <c r="C427" s="37">
        <v>41052</v>
      </c>
      <c r="D427" s="37" t="s">
        <v>471</v>
      </c>
      <c r="E427" s="37">
        <v>41052</v>
      </c>
      <c r="F427" s="40" t="s">
        <v>413</v>
      </c>
      <c r="G427" s="580" t="s">
        <v>840</v>
      </c>
      <c r="H427" s="7" t="s">
        <v>456</v>
      </c>
      <c r="I427" s="278"/>
      <c r="J427" s="278"/>
      <c r="K427" s="698">
        <v>260000</v>
      </c>
      <c r="L427" s="39" t="s">
        <v>9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20"/>
        <v>5</v>
      </c>
      <c r="C428" s="37">
        <v>41052</v>
      </c>
      <c r="D428" s="195" t="s">
        <v>532</v>
      </c>
      <c r="E428" s="37">
        <v>41052</v>
      </c>
      <c r="F428" s="40" t="s">
        <v>841</v>
      </c>
      <c r="G428" s="580" t="s">
        <v>842</v>
      </c>
      <c r="H428" s="7" t="s">
        <v>487</v>
      </c>
      <c r="I428" s="278">
        <v>500</v>
      </c>
      <c r="J428" s="278">
        <v>10584</v>
      </c>
      <c r="K428" s="38">
        <v>5292000</v>
      </c>
      <c r="L428" s="39" t="s">
        <v>186</v>
      </c>
      <c r="M428" s="699" t="s">
        <v>8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  <c r="AC428" s="226" t="str">
        <f>IF(ISNA(VLOOKUP(F428,NXT!$C$18:$C$347,1,0)),x,"")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20"/>
        <v>5</v>
      </c>
      <c r="C429" s="195">
        <v>41052</v>
      </c>
      <c r="D429" s="195" t="s">
        <v>532</v>
      </c>
      <c r="E429" s="195">
        <v>41052</v>
      </c>
      <c r="F429" s="203" t="s">
        <v>843</v>
      </c>
      <c r="G429" s="700" t="s">
        <v>842</v>
      </c>
      <c r="H429" s="7" t="s">
        <v>487</v>
      </c>
      <c r="I429" s="277">
        <v>200</v>
      </c>
      <c r="J429" s="277">
        <v>11882</v>
      </c>
      <c r="K429" s="698">
        <v>2376400</v>
      </c>
      <c r="L429" s="699" t="s">
        <v>186</v>
      </c>
      <c r="M429" s="699" t="s">
        <v>8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689"/>
      <c r="AC429" s="226" t="str">
        <f>IF(ISNA(VLOOKUP(F429,NXT!$C$18:$C$347,1,0)),x,"")</f>
        <v/>
      </c>
      <c r="AD429" s="689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20"/>
        <v>5</v>
      </c>
      <c r="C430" s="37">
        <v>41052</v>
      </c>
      <c r="D430" s="195" t="s">
        <v>532</v>
      </c>
      <c r="E430" s="37">
        <v>41052</v>
      </c>
      <c r="F430" s="40" t="s">
        <v>844</v>
      </c>
      <c r="G430" s="580" t="s">
        <v>842</v>
      </c>
      <c r="H430" s="7" t="s">
        <v>487</v>
      </c>
      <c r="I430" s="277">
        <v>150</v>
      </c>
      <c r="J430" s="277">
        <v>10653</v>
      </c>
      <c r="K430" s="698">
        <v>1597950</v>
      </c>
      <c r="L430" s="39" t="s">
        <v>186</v>
      </c>
      <c r="M430" s="699" t="s">
        <v>8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  <c r="AC430" s="226" t="str">
        <f>IF(ISNA(VLOOKUP(F430,NXT!$C$18:$C$347,1,0)),x,"")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20"/>
        <v>5</v>
      </c>
      <c r="C431" s="37">
        <v>41052</v>
      </c>
      <c r="D431" s="195" t="s">
        <v>532</v>
      </c>
      <c r="E431" s="37">
        <v>41052</v>
      </c>
      <c r="F431" s="40" t="s">
        <v>845</v>
      </c>
      <c r="G431" s="580" t="s">
        <v>842</v>
      </c>
      <c r="H431" s="7" t="s">
        <v>487</v>
      </c>
      <c r="I431" s="277">
        <v>150</v>
      </c>
      <c r="J431" s="277">
        <v>12606</v>
      </c>
      <c r="K431" s="698">
        <v>1890900</v>
      </c>
      <c r="L431" s="39" t="s">
        <v>186</v>
      </c>
      <c r="M431" s="699" t="s">
        <v>8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  <c r="AC431" s="226" t="str">
        <f>IF(ISNA(VLOOKUP(F431,NXT!$C$18:$C$347,1,0)),x,"")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20"/>
        <v>5</v>
      </c>
      <c r="C432" s="37">
        <v>41052</v>
      </c>
      <c r="D432" s="195" t="s">
        <v>532</v>
      </c>
      <c r="E432" s="37">
        <v>41052</v>
      </c>
      <c r="F432" s="40" t="s">
        <v>573</v>
      </c>
      <c r="G432" s="580" t="s">
        <v>842</v>
      </c>
      <c r="H432" s="7" t="s">
        <v>487</v>
      </c>
      <c r="I432" s="277"/>
      <c r="J432" s="277"/>
      <c r="K432" s="698">
        <v>1115725</v>
      </c>
      <c r="L432" s="39" t="s">
        <v>9</v>
      </c>
      <c r="M432" s="699" t="s">
        <v>8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30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si="20"/>
        <v>5</v>
      </c>
      <c r="C433" s="37">
        <v>41053</v>
      </c>
      <c r="D433" s="195" t="s">
        <v>533</v>
      </c>
      <c r="E433" s="37">
        <v>41053</v>
      </c>
      <c r="F433" s="40" t="s">
        <v>846</v>
      </c>
      <c r="G433" s="580" t="s">
        <v>847</v>
      </c>
      <c r="H433" s="7" t="s">
        <v>487</v>
      </c>
      <c r="I433" s="277">
        <v>670</v>
      </c>
      <c r="J433" s="277">
        <v>4931</v>
      </c>
      <c r="K433" s="38">
        <v>3303770</v>
      </c>
      <c r="L433" s="39" t="s">
        <v>186</v>
      </c>
      <c r="M433" s="699" t="s">
        <v>8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  <c r="AC433" s="226" t="str">
        <f>IF(ISNA(VLOOKUP(F433,NXT!$C$18:$C$347,1,0)),x,"")</f>
        <v/>
      </c>
    </row>
    <row r="434" spans="1:30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si="20"/>
        <v>5</v>
      </c>
      <c r="C434" s="37">
        <v>41053</v>
      </c>
      <c r="D434" s="195" t="s">
        <v>533</v>
      </c>
      <c r="E434" s="37">
        <v>41053</v>
      </c>
      <c r="F434" s="40" t="s">
        <v>843</v>
      </c>
      <c r="G434" s="580" t="s">
        <v>847</v>
      </c>
      <c r="H434" s="7" t="s">
        <v>487</v>
      </c>
      <c r="I434" s="277">
        <v>300</v>
      </c>
      <c r="J434" s="277">
        <v>11882</v>
      </c>
      <c r="K434" s="698">
        <v>3564600</v>
      </c>
      <c r="L434" s="39" t="s">
        <v>186</v>
      </c>
      <c r="M434" s="699" t="s">
        <v>8</v>
      </c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30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20"/>
        <v>5</v>
      </c>
      <c r="C435" s="37">
        <v>41053</v>
      </c>
      <c r="D435" s="195" t="s">
        <v>533</v>
      </c>
      <c r="E435" s="37">
        <v>41053</v>
      </c>
      <c r="F435" s="40" t="s">
        <v>848</v>
      </c>
      <c r="G435" s="580" t="s">
        <v>847</v>
      </c>
      <c r="H435" s="7" t="s">
        <v>487</v>
      </c>
      <c r="I435" s="277">
        <v>300</v>
      </c>
      <c r="J435" s="277">
        <v>20341</v>
      </c>
      <c r="K435" s="38">
        <v>6102300</v>
      </c>
      <c r="L435" s="39" t="s">
        <v>186</v>
      </c>
      <c r="M435" s="699" t="s">
        <v>8</v>
      </c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30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20"/>
        <v>5</v>
      </c>
      <c r="C436" s="37">
        <v>41053</v>
      </c>
      <c r="D436" s="195" t="s">
        <v>533</v>
      </c>
      <c r="E436" s="37">
        <v>41053</v>
      </c>
      <c r="F436" s="40" t="s">
        <v>849</v>
      </c>
      <c r="G436" s="580" t="s">
        <v>847</v>
      </c>
      <c r="H436" s="7" t="s">
        <v>487</v>
      </c>
      <c r="I436" s="277">
        <v>200</v>
      </c>
      <c r="J436" s="277">
        <v>11712</v>
      </c>
      <c r="K436" s="38">
        <v>2342400</v>
      </c>
      <c r="L436" s="39" t="s">
        <v>186</v>
      </c>
      <c r="M436" s="699" t="s">
        <v>8</v>
      </c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30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20"/>
        <v>5</v>
      </c>
      <c r="C437" s="37">
        <v>41053</v>
      </c>
      <c r="D437" s="195" t="s">
        <v>533</v>
      </c>
      <c r="E437" s="37">
        <v>41053</v>
      </c>
      <c r="F437" s="40" t="s">
        <v>850</v>
      </c>
      <c r="G437" s="580" t="s">
        <v>847</v>
      </c>
      <c r="H437" s="7" t="s">
        <v>487</v>
      </c>
      <c r="I437" s="277">
        <v>250</v>
      </c>
      <c r="J437" s="277">
        <v>15377</v>
      </c>
      <c r="K437" s="698">
        <v>3844250</v>
      </c>
      <c r="L437" s="39" t="s">
        <v>186</v>
      </c>
      <c r="M437" s="699" t="s">
        <v>8</v>
      </c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30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20"/>
        <v>5</v>
      </c>
      <c r="C438" s="37">
        <v>41053</v>
      </c>
      <c r="D438" s="195" t="s">
        <v>533</v>
      </c>
      <c r="E438" s="37">
        <v>41053</v>
      </c>
      <c r="F438" s="40" t="s">
        <v>573</v>
      </c>
      <c r="G438" s="580" t="s">
        <v>847</v>
      </c>
      <c r="H438" s="7" t="s">
        <v>487</v>
      </c>
      <c r="I438" s="277"/>
      <c r="J438" s="277"/>
      <c r="K438" s="698">
        <v>1915732</v>
      </c>
      <c r="L438" s="39" t="s">
        <v>9</v>
      </c>
      <c r="M438" s="699" t="s">
        <v>8</v>
      </c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</row>
    <row r="439" spans="1:30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20"/>
        <v>5</v>
      </c>
      <c r="C439" s="37">
        <v>41054</v>
      </c>
      <c r="D439" s="37" t="s">
        <v>404</v>
      </c>
      <c r="E439" s="37">
        <v>41054</v>
      </c>
      <c r="F439" s="40" t="s">
        <v>406</v>
      </c>
      <c r="G439" s="580" t="s">
        <v>401</v>
      </c>
      <c r="H439" s="7" t="s">
        <v>416</v>
      </c>
      <c r="I439" s="277"/>
      <c r="J439" s="277"/>
      <c r="K439" s="38">
        <v>28280776</v>
      </c>
      <c r="L439" s="39" t="s">
        <v>24</v>
      </c>
      <c r="M439" s="39" t="s">
        <v>311</v>
      </c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>x</v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  <c r="AB439" s="701"/>
      <c r="AC439" s="701"/>
      <c r="AD439" s="689"/>
    </row>
    <row r="440" spans="1:30" s="226" customFormat="1" ht="15.75" customHeight="1">
      <c r="A440" s="219" t="str">
        <f>IF(B440&lt;&gt;"",IF(AND(B440&gt;=_TM1,B440&lt;=_TM2,OR(TH!L440="1111",TH!M440="1111")),TH!D440,""),"")</f>
        <v/>
      </c>
      <c r="B440" s="36">
        <f t="shared" ref="B440:B464" si="21">IF(C440&lt;&gt;"",MONTH(C440),"")</f>
        <v>5</v>
      </c>
      <c r="C440" s="37">
        <v>41054</v>
      </c>
      <c r="D440" s="37" t="s">
        <v>404</v>
      </c>
      <c r="E440" s="37">
        <v>41054</v>
      </c>
      <c r="F440" s="40" t="s">
        <v>453</v>
      </c>
      <c r="G440" s="580" t="s">
        <v>401</v>
      </c>
      <c r="H440" s="45"/>
      <c r="I440" s="277"/>
      <c r="J440" s="277"/>
      <c r="K440" s="698">
        <v>44102</v>
      </c>
      <c r="L440" s="39" t="s">
        <v>24</v>
      </c>
      <c r="M440" s="39" t="s">
        <v>41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>x</v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</row>
    <row r="441" spans="1:30" s="226" customFormat="1" ht="15.75" customHeight="1">
      <c r="A441" s="219" t="str">
        <f>IF(B441&lt;&gt;"",IF(AND(B441&gt;=_TM1,B441&lt;=_TM2,OR(TH!L441="1111",TH!M441="1111")),TH!D441,""),"")</f>
        <v/>
      </c>
      <c r="B441" s="36">
        <f t="shared" si="21"/>
        <v>5</v>
      </c>
      <c r="C441" s="37">
        <v>41054</v>
      </c>
      <c r="D441" s="37" t="s">
        <v>511</v>
      </c>
      <c r="E441" s="37">
        <v>41054</v>
      </c>
      <c r="F441" s="40" t="s">
        <v>411</v>
      </c>
      <c r="G441" s="580" t="s">
        <v>851</v>
      </c>
      <c r="H441" s="45" t="s">
        <v>461</v>
      </c>
      <c r="I441" s="277">
        <v>72</v>
      </c>
      <c r="J441" s="277">
        <v>42000</v>
      </c>
      <c r="K441" s="698">
        <v>3024000</v>
      </c>
      <c r="L441" s="39" t="s">
        <v>188</v>
      </c>
      <c r="M441" s="699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</row>
    <row r="442" spans="1:30" s="226" customFormat="1" ht="15.75" customHeight="1">
      <c r="A442" s="219" t="str">
        <f>IF(B442&lt;&gt;"",IF(AND(B442&gt;=_TM1,B442&lt;=_TM2,OR(TH!L442="1111",TH!M442="1111")),TH!D442,""),"")</f>
        <v/>
      </c>
      <c r="B442" s="36">
        <f t="shared" si="21"/>
        <v>5</v>
      </c>
      <c r="C442" s="37">
        <v>41054</v>
      </c>
      <c r="D442" s="37" t="s">
        <v>511</v>
      </c>
      <c r="E442" s="37">
        <v>41054</v>
      </c>
      <c r="F442" s="40" t="s">
        <v>412</v>
      </c>
      <c r="G442" s="580" t="s">
        <v>851</v>
      </c>
      <c r="H442" s="45" t="s">
        <v>461</v>
      </c>
      <c r="I442" s="277"/>
      <c r="J442" s="277"/>
      <c r="K442" s="698">
        <v>302400</v>
      </c>
      <c r="L442" s="39" t="s">
        <v>9</v>
      </c>
      <c r="M442" s="699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30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21"/>
        <v>5</v>
      </c>
      <c r="C443" s="37">
        <v>41054</v>
      </c>
      <c r="D443" s="37" t="s">
        <v>472</v>
      </c>
      <c r="E443" s="37">
        <v>41054</v>
      </c>
      <c r="F443" s="40" t="s">
        <v>455</v>
      </c>
      <c r="G443" s="580" t="s">
        <v>851</v>
      </c>
      <c r="H443" s="45" t="s">
        <v>461</v>
      </c>
      <c r="I443" s="277"/>
      <c r="J443" s="277"/>
      <c r="K443" s="698">
        <v>3326400</v>
      </c>
      <c r="L443" s="39" t="s">
        <v>8</v>
      </c>
      <c r="M443" s="39" t="s">
        <v>49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>x</v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</row>
    <row r="444" spans="1:30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21"/>
        <v>5</v>
      </c>
      <c r="C444" s="37">
        <v>41054</v>
      </c>
      <c r="D444" s="195" t="s">
        <v>534</v>
      </c>
      <c r="E444" s="37">
        <v>41054</v>
      </c>
      <c r="F444" s="40" t="s">
        <v>852</v>
      </c>
      <c r="G444" s="580" t="s">
        <v>853</v>
      </c>
      <c r="H444" s="7" t="s">
        <v>487</v>
      </c>
      <c r="I444" s="277">
        <v>205</v>
      </c>
      <c r="J444" s="277">
        <v>21119</v>
      </c>
      <c r="K444" s="698">
        <v>4329395</v>
      </c>
      <c r="L444" s="39" t="s">
        <v>186</v>
      </c>
      <c r="M444" s="699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30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21"/>
        <v>5</v>
      </c>
      <c r="C445" s="37">
        <v>41054</v>
      </c>
      <c r="D445" s="195" t="s">
        <v>534</v>
      </c>
      <c r="E445" s="37">
        <v>41054</v>
      </c>
      <c r="F445" s="40" t="s">
        <v>854</v>
      </c>
      <c r="G445" s="580" t="s">
        <v>853</v>
      </c>
      <c r="H445" s="7" t="s">
        <v>487</v>
      </c>
      <c r="I445" s="277">
        <v>500</v>
      </c>
      <c r="J445" s="277">
        <v>17219</v>
      </c>
      <c r="K445" s="698">
        <v>8609500</v>
      </c>
      <c r="L445" s="39" t="s">
        <v>186</v>
      </c>
      <c r="M445" s="699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30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21"/>
        <v>5</v>
      </c>
      <c r="C446" s="37">
        <v>41054</v>
      </c>
      <c r="D446" s="195" t="s">
        <v>534</v>
      </c>
      <c r="E446" s="37">
        <v>41054</v>
      </c>
      <c r="F446" s="40" t="s">
        <v>855</v>
      </c>
      <c r="G446" s="580" t="s">
        <v>853</v>
      </c>
      <c r="H446" s="7" t="s">
        <v>487</v>
      </c>
      <c r="I446" s="277">
        <v>300</v>
      </c>
      <c r="J446" s="277">
        <v>26644</v>
      </c>
      <c r="K446" s="698">
        <v>7993200</v>
      </c>
      <c r="L446" s="39" t="s">
        <v>186</v>
      </c>
      <c r="M446" s="699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  <c r="AC446" s="226" t="str">
        <f>IF(ISNA(VLOOKUP(F446,NXT!$C$18:$C$347,1,0)),x,"")</f>
        <v/>
      </c>
    </row>
    <row r="447" spans="1:30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21"/>
        <v>5</v>
      </c>
      <c r="C447" s="37">
        <v>41054</v>
      </c>
      <c r="D447" s="195" t="s">
        <v>534</v>
      </c>
      <c r="E447" s="37">
        <v>41054</v>
      </c>
      <c r="F447" s="40" t="s">
        <v>856</v>
      </c>
      <c r="G447" s="580" t="s">
        <v>853</v>
      </c>
      <c r="H447" s="7" t="s">
        <v>487</v>
      </c>
      <c r="I447" s="277">
        <v>500</v>
      </c>
      <c r="J447" s="277">
        <v>18923</v>
      </c>
      <c r="K447" s="698">
        <v>9461500</v>
      </c>
      <c r="L447" s="39" t="s">
        <v>186</v>
      </c>
      <c r="M447" s="699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  <c r="AC447" s="226" t="str">
        <f>IF(ISNA(VLOOKUP(F447,NXT!$C$18:$C$347,1,0)),x,"")</f>
        <v/>
      </c>
    </row>
    <row r="448" spans="1:30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21"/>
        <v>5</v>
      </c>
      <c r="C448" s="37">
        <v>41054</v>
      </c>
      <c r="D448" s="195" t="s">
        <v>534</v>
      </c>
      <c r="E448" s="37">
        <v>41054</v>
      </c>
      <c r="F448" s="40" t="s">
        <v>857</v>
      </c>
      <c r="G448" s="580" t="s">
        <v>853</v>
      </c>
      <c r="H448" s="7" t="s">
        <v>487</v>
      </c>
      <c r="I448" s="277">
        <v>500</v>
      </c>
      <c r="J448" s="277">
        <v>19974</v>
      </c>
      <c r="K448" s="38">
        <v>9987000</v>
      </c>
      <c r="L448" s="39" t="s">
        <v>186</v>
      </c>
      <c r="M448" s="699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  <c r="AC448" s="226" t="str">
        <f>IF(ISNA(VLOOKUP(F448,NXT!$C$18:$C$347,1,0)),x,"")</f>
        <v/>
      </c>
    </row>
    <row r="449" spans="1:30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21"/>
        <v>5</v>
      </c>
      <c r="C449" s="37">
        <v>41054</v>
      </c>
      <c r="D449" s="195" t="s">
        <v>534</v>
      </c>
      <c r="E449" s="37">
        <v>41054</v>
      </c>
      <c r="F449" s="40" t="s">
        <v>858</v>
      </c>
      <c r="G449" s="580" t="s">
        <v>853</v>
      </c>
      <c r="H449" s="7" t="s">
        <v>487</v>
      </c>
      <c r="I449" s="277">
        <v>500</v>
      </c>
      <c r="J449" s="277">
        <v>14500</v>
      </c>
      <c r="K449" s="698">
        <v>7250000</v>
      </c>
      <c r="L449" s="39" t="s">
        <v>186</v>
      </c>
      <c r="M449" s="699" t="s">
        <v>8</v>
      </c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30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21"/>
        <v>5</v>
      </c>
      <c r="C450" s="37">
        <v>41054</v>
      </c>
      <c r="D450" s="195" t="s">
        <v>534</v>
      </c>
      <c r="E450" s="37">
        <v>41054</v>
      </c>
      <c r="F450" s="40" t="s">
        <v>859</v>
      </c>
      <c r="G450" s="580" t="s">
        <v>853</v>
      </c>
      <c r="H450" s="7" t="s">
        <v>487</v>
      </c>
      <c r="I450" s="277">
        <v>300</v>
      </c>
      <c r="J450" s="277">
        <v>31103</v>
      </c>
      <c r="K450" s="698">
        <v>9330900</v>
      </c>
      <c r="L450" s="39" t="s">
        <v>186</v>
      </c>
      <c r="M450" s="699" t="s">
        <v>8</v>
      </c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30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21"/>
        <v>5</v>
      </c>
      <c r="C451" s="37">
        <v>41054</v>
      </c>
      <c r="D451" s="195" t="s">
        <v>534</v>
      </c>
      <c r="E451" s="37">
        <v>41054</v>
      </c>
      <c r="F451" s="40" t="s">
        <v>573</v>
      </c>
      <c r="G451" s="580" t="s">
        <v>853</v>
      </c>
      <c r="H451" s="7" t="s">
        <v>487</v>
      </c>
      <c r="I451" s="277"/>
      <c r="J451" s="277"/>
      <c r="K451" s="38">
        <v>5696150</v>
      </c>
      <c r="L451" s="39" t="s">
        <v>9</v>
      </c>
      <c r="M451" s="699" t="s">
        <v>8</v>
      </c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</row>
    <row r="452" spans="1:30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21"/>
        <v>5</v>
      </c>
      <c r="C452" s="195">
        <v>41055</v>
      </c>
      <c r="D452" s="195" t="s">
        <v>535</v>
      </c>
      <c r="E452" s="195">
        <v>41055</v>
      </c>
      <c r="F452" s="203" t="s">
        <v>721</v>
      </c>
      <c r="G452" s="700" t="s">
        <v>860</v>
      </c>
      <c r="H452" s="7" t="s">
        <v>487</v>
      </c>
      <c r="I452" s="277">
        <v>340</v>
      </c>
      <c r="J452" s="277">
        <v>11176</v>
      </c>
      <c r="K452" s="698">
        <v>3799840</v>
      </c>
      <c r="L452" s="699" t="s">
        <v>186</v>
      </c>
      <c r="M452" s="699" t="s">
        <v>8</v>
      </c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B452" s="689"/>
      <c r="AC452" s="226" t="str">
        <f>IF(ISNA(VLOOKUP(F452,NXT!$C$18:$C$347,1,0)),x,"")</f>
        <v/>
      </c>
      <c r="AD452" s="689"/>
    </row>
    <row r="453" spans="1:30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21"/>
        <v>5</v>
      </c>
      <c r="C453" s="195">
        <v>41055</v>
      </c>
      <c r="D453" s="195" t="s">
        <v>535</v>
      </c>
      <c r="E453" s="195">
        <v>41055</v>
      </c>
      <c r="F453" s="203" t="s">
        <v>861</v>
      </c>
      <c r="G453" s="700" t="s">
        <v>860</v>
      </c>
      <c r="H453" s="7" t="s">
        <v>487</v>
      </c>
      <c r="I453" s="277">
        <v>120</v>
      </c>
      <c r="J453" s="277">
        <v>11578</v>
      </c>
      <c r="K453" s="698">
        <v>1389360</v>
      </c>
      <c r="L453" s="699" t="s">
        <v>186</v>
      </c>
      <c r="M453" s="699" t="s">
        <v>8</v>
      </c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B453" s="689"/>
      <c r="AC453" s="226" t="str">
        <f>IF(ISNA(VLOOKUP(F453,NXT!$C$18:$C$347,1,0)),x,"")</f>
        <v/>
      </c>
      <c r="AD453" s="689"/>
    </row>
    <row r="454" spans="1:30" s="701" customFormat="1" ht="15.75" customHeight="1">
      <c r="A454" s="219" t="str">
        <f>IF(B454&lt;&gt;"",IF(AND(B454&gt;=_TM1,B454&lt;=_TM2,OR(TH!L454="1111",TH!M454="1111")),TH!D454,""),"")</f>
        <v/>
      </c>
      <c r="B454" s="36">
        <f t="shared" si="21"/>
        <v>5</v>
      </c>
      <c r="C454" s="195">
        <v>41055</v>
      </c>
      <c r="D454" s="195" t="s">
        <v>535</v>
      </c>
      <c r="E454" s="195">
        <v>41055</v>
      </c>
      <c r="F454" s="203" t="s">
        <v>815</v>
      </c>
      <c r="G454" s="700" t="s">
        <v>860</v>
      </c>
      <c r="H454" s="7" t="s">
        <v>487</v>
      </c>
      <c r="I454" s="277">
        <v>750</v>
      </c>
      <c r="J454" s="277">
        <v>10940</v>
      </c>
      <c r="K454" s="698">
        <v>8205000</v>
      </c>
      <c r="L454" s="699" t="s">
        <v>186</v>
      </c>
      <c r="M454" s="699" t="s">
        <v>8</v>
      </c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B454" s="689"/>
      <c r="AC454" s="226" t="str">
        <f>IF(ISNA(VLOOKUP(F454,NXT!$C$18:$C$347,1,0)),x,"")</f>
        <v/>
      </c>
      <c r="AD454" s="689"/>
    </row>
    <row r="455" spans="1:30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21"/>
        <v>5</v>
      </c>
      <c r="C455" s="195">
        <v>41055</v>
      </c>
      <c r="D455" s="195" t="s">
        <v>535</v>
      </c>
      <c r="E455" s="195">
        <v>41055</v>
      </c>
      <c r="F455" s="203" t="s">
        <v>573</v>
      </c>
      <c r="G455" s="700" t="s">
        <v>860</v>
      </c>
      <c r="H455" s="7" t="s">
        <v>487</v>
      </c>
      <c r="I455" s="277"/>
      <c r="J455" s="277"/>
      <c r="K455" s="698">
        <v>1339420</v>
      </c>
      <c r="L455" s="699" t="s">
        <v>9</v>
      </c>
      <c r="M455" s="699" t="s">
        <v>8</v>
      </c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B455" s="689"/>
      <c r="AC455" s="689"/>
      <c r="AD455" s="689"/>
    </row>
    <row r="456" spans="1:30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21"/>
        <v>5</v>
      </c>
      <c r="C456" s="37">
        <v>41057</v>
      </c>
      <c r="D456" s="195" t="s">
        <v>535</v>
      </c>
      <c r="E456" s="37">
        <v>41057</v>
      </c>
      <c r="F456" s="40" t="s">
        <v>862</v>
      </c>
      <c r="G456" s="580" t="s">
        <v>863</v>
      </c>
      <c r="H456" s="7" t="s">
        <v>487</v>
      </c>
      <c r="I456" s="278">
        <v>100</v>
      </c>
      <c r="J456" s="278">
        <v>17876</v>
      </c>
      <c r="K456" s="698">
        <v>1787600</v>
      </c>
      <c r="L456" s="39" t="s">
        <v>186</v>
      </c>
      <c r="M456" s="699" t="s">
        <v>8</v>
      </c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  <c r="AC456" s="226" t="str">
        <f>IF(ISNA(VLOOKUP(F456,NXT!$C$18:$C$347,1,0)),x,"")</f>
        <v/>
      </c>
    </row>
    <row r="457" spans="1:30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21"/>
        <v>5</v>
      </c>
      <c r="C457" s="37">
        <v>41057</v>
      </c>
      <c r="D457" s="195" t="s">
        <v>535</v>
      </c>
      <c r="E457" s="37">
        <v>41057</v>
      </c>
      <c r="F457" s="40" t="s">
        <v>864</v>
      </c>
      <c r="G457" s="580" t="s">
        <v>863</v>
      </c>
      <c r="H457" s="7" t="s">
        <v>487</v>
      </c>
      <c r="I457" s="278">
        <v>300</v>
      </c>
      <c r="J457" s="278">
        <v>11817</v>
      </c>
      <c r="K457" s="38">
        <v>3545100</v>
      </c>
      <c r="L457" s="39" t="s">
        <v>186</v>
      </c>
      <c r="M457" s="699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30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21"/>
        <v>5</v>
      </c>
      <c r="C458" s="195">
        <v>41057</v>
      </c>
      <c r="D458" s="195" t="s">
        <v>535</v>
      </c>
      <c r="E458" s="195">
        <v>41057</v>
      </c>
      <c r="F458" s="203" t="s">
        <v>573</v>
      </c>
      <c r="G458" s="700" t="s">
        <v>863</v>
      </c>
      <c r="H458" s="7" t="s">
        <v>487</v>
      </c>
      <c r="I458" s="277"/>
      <c r="J458" s="277"/>
      <c r="K458" s="698">
        <v>533270</v>
      </c>
      <c r="L458" s="699" t="s">
        <v>9</v>
      </c>
      <c r="M458" s="699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  <c r="AB458" s="689"/>
      <c r="AC458" s="689"/>
    </row>
    <row r="459" spans="1:30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21"/>
        <v>5</v>
      </c>
      <c r="C459" s="37">
        <v>41059</v>
      </c>
      <c r="D459" s="37" t="s">
        <v>473</v>
      </c>
      <c r="E459" s="37">
        <v>41059</v>
      </c>
      <c r="F459" s="40" t="s">
        <v>451</v>
      </c>
      <c r="G459" s="580" t="s">
        <v>401</v>
      </c>
      <c r="H459" s="47" t="s">
        <v>706</v>
      </c>
      <c r="I459" s="277"/>
      <c r="J459" s="277"/>
      <c r="K459" s="38">
        <v>77500000</v>
      </c>
      <c r="L459" s="39" t="s">
        <v>24</v>
      </c>
      <c r="M459" s="39" t="s">
        <v>49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>x</v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>x</v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</row>
    <row r="460" spans="1:30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21"/>
        <v>5</v>
      </c>
      <c r="C460" s="37">
        <v>41059</v>
      </c>
      <c r="D460" s="37" t="s">
        <v>405</v>
      </c>
      <c r="E460" s="37">
        <v>41059</v>
      </c>
      <c r="F460" s="40" t="s">
        <v>455</v>
      </c>
      <c r="G460" s="580" t="s">
        <v>401</v>
      </c>
      <c r="H460" s="47"/>
      <c r="I460" s="277"/>
      <c r="J460" s="277"/>
      <c r="K460" s="38">
        <v>9933000</v>
      </c>
      <c r="L460" s="39" t="s">
        <v>8</v>
      </c>
      <c r="M460" s="39" t="s">
        <v>24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>x</v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</row>
    <row r="461" spans="1:30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21"/>
        <v>5</v>
      </c>
      <c r="C461" s="195">
        <v>41059</v>
      </c>
      <c r="D461" s="195" t="s">
        <v>405</v>
      </c>
      <c r="E461" s="195">
        <v>41059</v>
      </c>
      <c r="F461" s="203" t="s">
        <v>455</v>
      </c>
      <c r="G461" s="700" t="s">
        <v>401</v>
      </c>
      <c r="H461" s="719"/>
      <c r="I461" s="277"/>
      <c r="J461" s="277"/>
      <c r="K461" s="698">
        <v>15000000</v>
      </c>
      <c r="L461" s="699" t="s">
        <v>8</v>
      </c>
      <c r="M461" s="699" t="s">
        <v>24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>x</v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  <c r="AB461" s="689"/>
      <c r="AC461" s="689"/>
    </row>
    <row r="462" spans="1:30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21"/>
        <v>5</v>
      </c>
      <c r="C462" s="37">
        <v>41059</v>
      </c>
      <c r="D462" s="37" t="s">
        <v>405</v>
      </c>
      <c r="E462" s="37">
        <v>41059</v>
      </c>
      <c r="F462" s="40" t="s">
        <v>407</v>
      </c>
      <c r="G462" s="580" t="s">
        <v>401</v>
      </c>
      <c r="H462" s="45"/>
      <c r="I462" s="277"/>
      <c r="J462" s="277"/>
      <c r="K462" s="698">
        <v>20000</v>
      </c>
      <c r="L462" s="39" t="s">
        <v>87</v>
      </c>
      <c r="M462" s="39" t="s">
        <v>24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>x</v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30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21"/>
        <v>5</v>
      </c>
      <c r="C463" s="37">
        <v>41059</v>
      </c>
      <c r="D463" s="37" t="s">
        <v>405</v>
      </c>
      <c r="E463" s="37">
        <v>41059</v>
      </c>
      <c r="F463" s="40" t="s">
        <v>455</v>
      </c>
      <c r="G463" s="580" t="s">
        <v>401</v>
      </c>
      <c r="H463" s="45"/>
      <c r="I463" s="277"/>
      <c r="J463" s="277"/>
      <c r="K463" s="698">
        <v>80000000</v>
      </c>
      <c r="L463" s="39" t="s">
        <v>8</v>
      </c>
      <c r="M463" s="39" t="s">
        <v>24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>x</v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</row>
    <row r="464" spans="1:30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21"/>
        <v>5</v>
      </c>
      <c r="C464" s="37">
        <v>41059</v>
      </c>
      <c r="D464" s="37" t="s">
        <v>405</v>
      </c>
      <c r="E464" s="37">
        <v>41059</v>
      </c>
      <c r="F464" s="40" t="s">
        <v>407</v>
      </c>
      <c r="G464" s="580" t="s">
        <v>401</v>
      </c>
      <c r="H464" s="45"/>
      <c r="I464" s="277"/>
      <c r="J464" s="277"/>
      <c r="K464" s="38">
        <v>40000</v>
      </c>
      <c r="L464" s="39" t="s">
        <v>87</v>
      </c>
      <c r="M464" s="39" t="s">
        <v>24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>x</v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</row>
    <row r="465" spans="1:29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ref="B465" si="22">IF(C465&lt;&gt;"",MONTH(C465),"")</f>
        <v>5</v>
      </c>
      <c r="C465" s="37">
        <v>41059</v>
      </c>
      <c r="D465" s="37" t="s">
        <v>405</v>
      </c>
      <c r="E465" s="37">
        <v>41059</v>
      </c>
      <c r="F465" s="40" t="s">
        <v>865</v>
      </c>
      <c r="G465" s="40" t="s">
        <v>401</v>
      </c>
      <c r="H465" s="45"/>
      <c r="I465" s="277"/>
      <c r="J465" s="277"/>
      <c r="K465" s="38">
        <v>22830</v>
      </c>
      <c r="L465" s="39" t="s">
        <v>87</v>
      </c>
      <c r="M465" s="39" t="s">
        <v>24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>x</v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</row>
    <row r="466" spans="1:29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ref="B466:B529" si="23">IF(C466&lt;&gt;"",MONTH(C466),"")</f>
        <v>5</v>
      </c>
      <c r="C466" s="37">
        <v>41059</v>
      </c>
      <c r="D466" s="195" t="s">
        <v>536</v>
      </c>
      <c r="E466" s="37">
        <v>41059</v>
      </c>
      <c r="F466" s="40" t="s">
        <v>866</v>
      </c>
      <c r="G466" s="40" t="s">
        <v>867</v>
      </c>
      <c r="H466" s="45" t="s">
        <v>696</v>
      </c>
      <c r="I466" s="277">
        <v>300</v>
      </c>
      <c r="J466" s="277">
        <v>10302</v>
      </c>
      <c r="K466" s="38">
        <v>3090600</v>
      </c>
      <c r="L466" s="39" t="s">
        <v>186</v>
      </c>
      <c r="M466" s="699" t="s">
        <v>8</v>
      </c>
      <c r="N466" s="55" t="str">
        <f>IF(AND('331-CT'!$E$7=TH!H466,OR(L466="331",M466="331")),"x","")</f>
        <v>x</v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29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23"/>
        <v>5</v>
      </c>
      <c r="C467" s="37">
        <v>41059</v>
      </c>
      <c r="D467" s="195" t="s">
        <v>536</v>
      </c>
      <c r="E467" s="37">
        <v>41059</v>
      </c>
      <c r="F467" s="40" t="s">
        <v>868</v>
      </c>
      <c r="G467" s="40" t="s">
        <v>867</v>
      </c>
      <c r="H467" s="45" t="s">
        <v>696</v>
      </c>
      <c r="I467" s="277">
        <v>300</v>
      </c>
      <c r="J467" s="277">
        <v>8640</v>
      </c>
      <c r="K467" s="38">
        <v>2592000</v>
      </c>
      <c r="L467" s="39" t="s">
        <v>186</v>
      </c>
      <c r="M467" s="699" t="s">
        <v>8</v>
      </c>
      <c r="N467" s="55" t="str">
        <f>IF(AND('331-CT'!$E$7=TH!H467,OR(L467="331",M467="331")),"x","")</f>
        <v>x</v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  <c r="AC467" s="226" t="str">
        <f>IF(ISNA(VLOOKUP(F467,NXT!$C$18:$C$347,1,0)),x,"")</f>
        <v/>
      </c>
    </row>
    <row r="468" spans="1:29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23"/>
        <v>5</v>
      </c>
      <c r="C468" s="37">
        <v>41059</v>
      </c>
      <c r="D468" s="195" t="s">
        <v>536</v>
      </c>
      <c r="E468" s="37">
        <v>41059</v>
      </c>
      <c r="F468" s="40" t="s">
        <v>869</v>
      </c>
      <c r="G468" s="40" t="s">
        <v>867</v>
      </c>
      <c r="H468" s="45" t="s">
        <v>696</v>
      </c>
      <c r="I468" s="277">
        <v>450</v>
      </c>
      <c r="J468" s="277">
        <v>10626</v>
      </c>
      <c r="K468" s="38">
        <v>4781700</v>
      </c>
      <c r="L468" s="39" t="s">
        <v>186</v>
      </c>
      <c r="M468" s="699" t="s">
        <v>8</v>
      </c>
      <c r="N468" s="55" t="str">
        <f>IF(AND('331-CT'!$E$7=TH!H468,OR(L468="331",M468="331")),"x","")</f>
        <v>x</v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  <c r="AC468" s="226" t="str">
        <f>IF(ISNA(VLOOKUP(F468,NXT!$C$18:$C$347,1,0)),x,"")</f>
        <v/>
      </c>
    </row>
    <row r="469" spans="1:29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23"/>
        <v>5</v>
      </c>
      <c r="C469" s="37">
        <v>41059</v>
      </c>
      <c r="D469" s="195" t="s">
        <v>536</v>
      </c>
      <c r="E469" s="37">
        <v>41059</v>
      </c>
      <c r="F469" s="40" t="s">
        <v>870</v>
      </c>
      <c r="G469" s="40" t="s">
        <v>867</v>
      </c>
      <c r="H469" s="45" t="s">
        <v>696</v>
      </c>
      <c r="I469" s="277">
        <v>150</v>
      </c>
      <c r="J469" s="277">
        <v>14094</v>
      </c>
      <c r="K469" s="38">
        <v>2114100</v>
      </c>
      <c r="L469" s="39" t="s">
        <v>186</v>
      </c>
      <c r="M469" s="699" t="s">
        <v>8</v>
      </c>
      <c r="N469" s="55" t="str">
        <f>IF(AND('331-CT'!$E$7=TH!H469,OR(L469="331",M469="331")),"x","")</f>
        <v>x</v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  <c r="AC469" s="226" t="str">
        <f>IF(ISNA(VLOOKUP(F469,NXT!$C$18:$C$347,1,0)),x,"")</f>
        <v/>
      </c>
    </row>
    <row r="470" spans="1:29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23"/>
        <v>5</v>
      </c>
      <c r="C470" s="37">
        <v>41059</v>
      </c>
      <c r="D470" s="195" t="s">
        <v>536</v>
      </c>
      <c r="E470" s="37">
        <v>41059</v>
      </c>
      <c r="F470" s="40" t="s">
        <v>871</v>
      </c>
      <c r="G470" s="40" t="s">
        <v>867</v>
      </c>
      <c r="H470" s="45" t="s">
        <v>696</v>
      </c>
      <c r="I470" s="277">
        <v>570</v>
      </c>
      <c r="J470" s="277">
        <v>9420</v>
      </c>
      <c r="K470" s="38">
        <v>5369400</v>
      </c>
      <c r="L470" s="39" t="s">
        <v>186</v>
      </c>
      <c r="M470" s="699" t="s">
        <v>8</v>
      </c>
      <c r="N470" s="55" t="str">
        <f>IF(AND('331-CT'!$E$7=TH!H470,OR(L470="331",M470="331")),"x","")</f>
        <v>x</v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  <c r="AC470" s="226" t="str">
        <f>IF(ISNA(VLOOKUP(F470,NXT!$C$18:$C$347,1,0)),x,"")</f>
        <v/>
      </c>
    </row>
    <row r="471" spans="1:29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23"/>
        <v>5</v>
      </c>
      <c r="C471" s="37">
        <v>41059</v>
      </c>
      <c r="D471" s="195" t="s">
        <v>536</v>
      </c>
      <c r="E471" s="37">
        <v>41059</v>
      </c>
      <c r="F471" s="40" t="s">
        <v>699</v>
      </c>
      <c r="G471" s="40" t="s">
        <v>867</v>
      </c>
      <c r="H471" s="45" t="s">
        <v>696</v>
      </c>
      <c r="I471" s="277"/>
      <c r="J471" s="277"/>
      <c r="K471" s="38">
        <v>1794780</v>
      </c>
      <c r="L471" s="39" t="s">
        <v>9</v>
      </c>
      <c r="M471" s="699" t="s">
        <v>8</v>
      </c>
      <c r="N471" s="55" t="str">
        <f>IF(AND('331-CT'!$E$7=TH!H471,OR(L471="331",M471="331")),"x","")</f>
        <v>x</v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29" s="701" customFormat="1" ht="15.75" customHeight="1">
      <c r="A472" s="219" t="str">
        <f>IF(B472&lt;&gt;"",IF(AND(B472&gt;=_TM1,B472&lt;=_TM2,OR(TH!L472="1111",TH!M472="1111")),TH!D472,""),"")</f>
        <v/>
      </c>
      <c r="B472" s="36">
        <f t="shared" si="23"/>
        <v>5</v>
      </c>
      <c r="C472" s="37">
        <v>41059</v>
      </c>
      <c r="D472" s="195" t="s">
        <v>537</v>
      </c>
      <c r="E472" s="37">
        <v>41059</v>
      </c>
      <c r="F472" s="40" t="s">
        <v>872</v>
      </c>
      <c r="G472" s="40" t="s">
        <v>873</v>
      </c>
      <c r="H472" s="7" t="s">
        <v>487</v>
      </c>
      <c r="I472" s="280">
        <v>2150</v>
      </c>
      <c r="J472" s="280">
        <v>17357</v>
      </c>
      <c r="K472" s="38">
        <v>37317550</v>
      </c>
      <c r="L472" s="39" t="s">
        <v>186</v>
      </c>
      <c r="M472" s="699" t="s">
        <v>8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  <c r="AC472" s="226" t="str">
        <f>IF(ISNA(VLOOKUP(F472,NXT!$C$18:$C$347,1,0)),x,"")</f>
        <v/>
      </c>
    </row>
    <row r="473" spans="1:29" s="701" customFormat="1" ht="15.75" customHeight="1">
      <c r="A473" s="219" t="str">
        <f>IF(B473&lt;&gt;"",IF(AND(B473&gt;=_TM1,B473&lt;=_TM2,OR(TH!L473="1111",TH!M473="1111")),TH!D473,""),"")</f>
        <v/>
      </c>
      <c r="B473" s="36">
        <f t="shared" si="23"/>
        <v>5</v>
      </c>
      <c r="C473" s="37">
        <v>41059</v>
      </c>
      <c r="D473" s="195" t="s">
        <v>537</v>
      </c>
      <c r="E473" s="37">
        <v>41059</v>
      </c>
      <c r="F473" s="40" t="s">
        <v>874</v>
      </c>
      <c r="G473" s="40" t="s">
        <v>873</v>
      </c>
      <c r="H473" s="7" t="s">
        <v>487</v>
      </c>
      <c r="I473" s="280">
        <v>270</v>
      </c>
      <c r="J473" s="280">
        <v>18321</v>
      </c>
      <c r="K473" s="38">
        <v>4946670</v>
      </c>
      <c r="L473" s="39" t="s">
        <v>186</v>
      </c>
      <c r="M473" s="699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29" s="701" customFormat="1" ht="15.75" customHeight="1">
      <c r="A474" s="219" t="str">
        <f>IF(B474&lt;&gt;"",IF(AND(B474&gt;=_TM1,B474&lt;=_TM2,OR(TH!L474="1111",TH!M474="1111")),TH!D474,""),"")</f>
        <v/>
      </c>
      <c r="B474" s="36">
        <f t="shared" si="23"/>
        <v>5</v>
      </c>
      <c r="C474" s="37">
        <v>41059</v>
      </c>
      <c r="D474" s="195" t="s">
        <v>537</v>
      </c>
      <c r="E474" s="37">
        <v>41059</v>
      </c>
      <c r="F474" s="40" t="s">
        <v>573</v>
      </c>
      <c r="G474" s="40" t="s">
        <v>873</v>
      </c>
      <c r="H474" s="7" t="s">
        <v>487</v>
      </c>
      <c r="I474" s="277"/>
      <c r="J474" s="277"/>
      <c r="K474" s="38">
        <v>4226422</v>
      </c>
      <c r="L474" s="39" t="s">
        <v>9</v>
      </c>
      <c r="M474" s="699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</row>
    <row r="475" spans="1:29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23"/>
        <v>5</v>
      </c>
      <c r="C475" s="37">
        <v>41059</v>
      </c>
      <c r="D475" s="195" t="s">
        <v>538</v>
      </c>
      <c r="E475" s="37">
        <v>41059</v>
      </c>
      <c r="F475" s="40" t="s">
        <v>875</v>
      </c>
      <c r="G475" s="40" t="s">
        <v>876</v>
      </c>
      <c r="H475" s="7" t="s">
        <v>487</v>
      </c>
      <c r="I475" s="278">
        <v>292</v>
      </c>
      <c r="J475" s="278">
        <v>20261</v>
      </c>
      <c r="K475" s="38">
        <v>5916212</v>
      </c>
      <c r="L475" s="39" t="s">
        <v>186</v>
      </c>
      <c r="M475" s="699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29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23"/>
        <v>5</v>
      </c>
      <c r="C476" s="37">
        <v>41059</v>
      </c>
      <c r="D476" s="195" t="s">
        <v>538</v>
      </c>
      <c r="E476" s="37">
        <v>41059</v>
      </c>
      <c r="F476" s="40" t="s">
        <v>779</v>
      </c>
      <c r="G476" s="40" t="s">
        <v>876</v>
      </c>
      <c r="H476" s="7" t="s">
        <v>487</v>
      </c>
      <c r="I476" s="277">
        <v>250</v>
      </c>
      <c r="J476" s="277">
        <v>11706</v>
      </c>
      <c r="K476" s="38">
        <v>2926500</v>
      </c>
      <c r="L476" s="39" t="s">
        <v>186</v>
      </c>
      <c r="M476" s="699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29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23"/>
        <v>5</v>
      </c>
      <c r="C477" s="37">
        <v>41059</v>
      </c>
      <c r="D477" s="195" t="s">
        <v>538</v>
      </c>
      <c r="E477" s="205">
        <v>41059</v>
      </c>
      <c r="F477" s="206" t="s">
        <v>877</v>
      </c>
      <c r="G477" s="40" t="s">
        <v>876</v>
      </c>
      <c r="H477" s="7" t="s">
        <v>487</v>
      </c>
      <c r="I477" s="277">
        <v>360</v>
      </c>
      <c r="J477" s="277">
        <v>28775</v>
      </c>
      <c r="K477" s="38">
        <v>10359000</v>
      </c>
      <c r="L477" s="208" t="s">
        <v>186</v>
      </c>
      <c r="M477" s="699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29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23"/>
        <v>5</v>
      </c>
      <c r="C478" s="37">
        <v>41059</v>
      </c>
      <c r="D478" s="195" t="s">
        <v>538</v>
      </c>
      <c r="E478" s="205">
        <v>41059</v>
      </c>
      <c r="F478" s="206" t="s">
        <v>573</v>
      </c>
      <c r="G478" s="40" t="s">
        <v>876</v>
      </c>
      <c r="H478" s="7" t="s">
        <v>487</v>
      </c>
      <c r="I478" s="277"/>
      <c r="J478" s="277"/>
      <c r="K478" s="38">
        <v>1920171</v>
      </c>
      <c r="L478" s="208" t="s">
        <v>9</v>
      </c>
      <c r="M478" s="699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29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23"/>
        <v>5</v>
      </c>
      <c r="C479" s="37">
        <v>41060</v>
      </c>
      <c r="D479" s="37" t="s">
        <v>512</v>
      </c>
      <c r="E479" s="205">
        <v>41060</v>
      </c>
      <c r="F479" s="40" t="s">
        <v>878</v>
      </c>
      <c r="G479" s="40" t="s">
        <v>879</v>
      </c>
      <c r="H479" s="225" t="s">
        <v>880</v>
      </c>
      <c r="I479" s="277">
        <v>104121</v>
      </c>
      <c r="J479" s="277">
        <v>250</v>
      </c>
      <c r="K479" s="38">
        <v>26030250</v>
      </c>
      <c r="L479" s="39" t="s">
        <v>188</v>
      </c>
      <c r="M479" s="699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</row>
    <row r="480" spans="1:29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23"/>
        <v>5</v>
      </c>
      <c r="C480" s="37">
        <v>41060</v>
      </c>
      <c r="D480" s="37" t="s">
        <v>512</v>
      </c>
      <c r="E480" s="205">
        <v>41060</v>
      </c>
      <c r="F480" s="40" t="s">
        <v>881</v>
      </c>
      <c r="G480" s="40" t="s">
        <v>879</v>
      </c>
      <c r="H480" s="225" t="s">
        <v>880</v>
      </c>
      <c r="I480" s="277"/>
      <c r="J480" s="277"/>
      <c r="K480" s="38">
        <v>2603025</v>
      </c>
      <c r="L480" s="39" t="s">
        <v>9</v>
      </c>
      <c r="M480" s="699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23"/>
        <v>5</v>
      </c>
      <c r="C481" s="37">
        <v>41060</v>
      </c>
      <c r="D481" s="195" t="s">
        <v>539</v>
      </c>
      <c r="E481" s="37">
        <v>41060</v>
      </c>
      <c r="F481" s="40" t="s">
        <v>871</v>
      </c>
      <c r="G481" s="40" t="s">
        <v>882</v>
      </c>
      <c r="H481" s="45" t="s">
        <v>696</v>
      </c>
      <c r="I481" s="277">
        <v>80</v>
      </c>
      <c r="J481" s="277">
        <v>9420</v>
      </c>
      <c r="K481" s="38">
        <v>753600</v>
      </c>
      <c r="L481" s="39" t="s">
        <v>186</v>
      </c>
      <c r="M481" s="699" t="s">
        <v>8</v>
      </c>
      <c r="N481" s="55" t="str">
        <f>IF(AND('331-CT'!$E$7=TH!H481,OR(L481="331",M481="331")),"x","")</f>
        <v>x</v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23"/>
        <v>5</v>
      </c>
      <c r="C482" s="37">
        <v>41060</v>
      </c>
      <c r="D482" s="195" t="s">
        <v>539</v>
      </c>
      <c r="E482" s="37">
        <v>41060</v>
      </c>
      <c r="F482" s="40" t="s">
        <v>883</v>
      </c>
      <c r="G482" s="40" t="s">
        <v>882</v>
      </c>
      <c r="H482" s="225" t="s">
        <v>696</v>
      </c>
      <c r="I482" s="278">
        <v>180</v>
      </c>
      <c r="J482" s="278">
        <v>15120</v>
      </c>
      <c r="K482" s="38">
        <v>2721600</v>
      </c>
      <c r="L482" s="39" t="s">
        <v>186</v>
      </c>
      <c r="M482" s="699" t="s">
        <v>8</v>
      </c>
      <c r="N482" s="55" t="str">
        <f>IF(AND('331-CT'!$E$7=TH!H482,OR(L482="331",M482="331")),"x","")</f>
        <v>x</v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23"/>
        <v>5</v>
      </c>
      <c r="C483" s="37">
        <v>41060</v>
      </c>
      <c r="D483" s="195" t="s">
        <v>539</v>
      </c>
      <c r="E483" s="37">
        <v>41060</v>
      </c>
      <c r="F483" s="40" t="s">
        <v>884</v>
      </c>
      <c r="G483" s="40" t="s">
        <v>882</v>
      </c>
      <c r="H483" s="45" t="s">
        <v>696</v>
      </c>
      <c r="I483" s="277">
        <v>100</v>
      </c>
      <c r="J483" s="277">
        <v>11730</v>
      </c>
      <c r="K483" s="38">
        <v>1173000</v>
      </c>
      <c r="L483" s="39" t="s">
        <v>186</v>
      </c>
      <c r="M483" s="699" t="s">
        <v>8</v>
      </c>
      <c r="N483" s="55" t="str">
        <f>IF(AND('331-CT'!$E$7=TH!H483,OR(L483="331",M483="331")),"x","")</f>
        <v>x</v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  <c r="AC483" s="226" t="str">
        <f>IF(ISNA(VLOOKUP(F483,NXT!$C$18:$C$347,1,0)),x,"")</f>
        <v/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23"/>
        <v>5</v>
      </c>
      <c r="C484" s="37">
        <v>41060</v>
      </c>
      <c r="D484" s="195" t="s">
        <v>539</v>
      </c>
      <c r="E484" s="37">
        <v>41060</v>
      </c>
      <c r="F484" s="40" t="s">
        <v>885</v>
      </c>
      <c r="G484" s="40" t="s">
        <v>882</v>
      </c>
      <c r="H484" s="45" t="s">
        <v>696</v>
      </c>
      <c r="I484" s="277">
        <v>500</v>
      </c>
      <c r="J484" s="277">
        <v>13487.1</v>
      </c>
      <c r="K484" s="38">
        <v>6743550</v>
      </c>
      <c r="L484" s="39" t="s">
        <v>186</v>
      </c>
      <c r="M484" s="699" t="s">
        <v>8</v>
      </c>
      <c r="N484" s="55" t="str">
        <f>IF(AND('331-CT'!$E$7=TH!H484,OR(L484="331",M484="331")),"x","")</f>
        <v>x</v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  <c r="AC484" s="226" t="str">
        <f>IF(ISNA(VLOOKUP(F484,NXT!$C$18:$C$347,1,0)),x,"")</f>
        <v/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23"/>
        <v>5</v>
      </c>
      <c r="C485" s="37">
        <v>41060</v>
      </c>
      <c r="D485" s="195" t="s">
        <v>539</v>
      </c>
      <c r="E485" s="37">
        <v>41060</v>
      </c>
      <c r="F485" s="40" t="s">
        <v>886</v>
      </c>
      <c r="G485" s="40" t="s">
        <v>882</v>
      </c>
      <c r="H485" s="45" t="s">
        <v>696</v>
      </c>
      <c r="I485" s="277">
        <v>500</v>
      </c>
      <c r="J485" s="277">
        <v>6220.8</v>
      </c>
      <c r="K485" s="38">
        <v>3110400</v>
      </c>
      <c r="L485" s="39" t="s">
        <v>186</v>
      </c>
      <c r="M485" s="699" t="s">
        <v>8</v>
      </c>
      <c r="N485" s="55" t="str">
        <f>IF(AND('331-CT'!$E$7=TH!H485,OR(L485="331",M485="331")),"x","")</f>
        <v>x</v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  <c r="AC485" s="226" t="str">
        <f>IF(ISNA(VLOOKUP(F485,NXT!$C$18:$C$347,1,0)),x,"")</f>
        <v/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23"/>
        <v>5</v>
      </c>
      <c r="C486" s="37">
        <v>41060</v>
      </c>
      <c r="D486" s="195" t="s">
        <v>539</v>
      </c>
      <c r="E486" s="37">
        <v>41060</v>
      </c>
      <c r="F486" s="40" t="s">
        <v>887</v>
      </c>
      <c r="G486" s="40" t="s">
        <v>882</v>
      </c>
      <c r="H486" s="45" t="s">
        <v>696</v>
      </c>
      <c r="I486" s="277">
        <v>200</v>
      </c>
      <c r="J486" s="277">
        <v>11059.2</v>
      </c>
      <c r="K486" s="38">
        <v>2211840</v>
      </c>
      <c r="L486" s="39" t="s">
        <v>186</v>
      </c>
      <c r="M486" s="699" t="s">
        <v>8</v>
      </c>
      <c r="N486" s="55" t="str">
        <f>IF(AND('331-CT'!$E$7=TH!H486,OR(L486="331",M486="331")),"x","")</f>
        <v>x</v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23"/>
        <v>5</v>
      </c>
      <c r="C487" s="37">
        <v>41060</v>
      </c>
      <c r="D487" s="195" t="s">
        <v>539</v>
      </c>
      <c r="E487" s="37">
        <v>41060</v>
      </c>
      <c r="F487" s="40" t="s">
        <v>888</v>
      </c>
      <c r="G487" s="40" t="s">
        <v>882</v>
      </c>
      <c r="H487" s="45" t="s">
        <v>696</v>
      </c>
      <c r="I487" s="277">
        <v>150</v>
      </c>
      <c r="J487" s="277">
        <v>9523.2000000000007</v>
      </c>
      <c r="K487" s="38">
        <v>1428480</v>
      </c>
      <c r="L487" s="39" t="s">
        <v>186</v>
      </c>
      <c r="M487" s="699" t="s">
        <v>8</v>
      </c>
      <c r="N487" s="55" t="str">
        <f>IF(AND('331-CT'!$E$7=TH!H487,OR(L487="331",M487="331")),"x","")</f>
        <v>x</v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23"/>
        <v>5</v>
      </c>
      <c r="C488" s="37">
        <v>41060</v>
      </c>
      <c r="D488" s="195" t="s">
        <v>539</v>
      </c>
      <c r="E488" s="37">
        <v>41060</v>
      </c>
      <c r="F488" s="40" t="s">
        <v>889</v>
      </c>
      <c r="G488" s="40" t="s">
        <v>882</v>
      </c>
      <c r="H488" s="45" t="s">
        <v>696</v>
      </c>
      <c r="I488" s="277"/>
      <c r="J488" s="277"/>
      <c r="K488" s="38">
        <v>1814247</v>
      </c>
      <c r="L488" s="39" t="s">
        <v>9</v>
      </c>
      <c r="M488" s="699" t="s">
        <v>8</v>
      </c>
      <c r="N488" s="55" t="str">
        <f>IF(AND('331-CT'!$E$7=TH!H488,OR(L488="331",M488="331")),"x","")</f>
        <v>x</v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23"/>
        <v>6</v>
      </c>
      <c r="C489" s="37">
        <v>41064</v>
      </c>
      <c r="D489" s="195" t="s">
        <v>540</v>
      </c>
      <c r="E489" s="37">
        <v>41064</v>
      </c>
      <c r="F489" s="40" t="s">
        <v>784</v>
      </c>
      <c r="G489" s="40" t="s">
        <v>890</v>
      </c>
      <c r="H489" s="7" t="s">
        <v>487</v>
      </c>
      <c r="I489" s="277">
        <v>250</v>
      </c>
      <c r="J489" s="277">
        <v>17722</v>
      </c>
      <c r="K489" s="38">
        <v>4430500</v>
      </c>
      <c r="L489" s="39" t="s">
        <v>186</v>
      </c>
      <c r="M489" s="699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23"/>
        <v>6</v>
      </c>
      <c r="C490" s="37">
        <v>41064</v>
      </c>
      <c r="D490" s="195" t="s">
        <v>540</v>
      </c>
      <c r="E490" s="37">
        <v>41064</v>
      </c>
      <c r="F490" s="40" t="s">
        <v>573</v>
      </c>
      <c r="G490" s="40" t="s">
        <v>890</v>
      </c>
      <c r="H490" s="7" t="s">
        <v>487</v>
      </c>
      <c r="I490" s="277"/>
      <c r="J490" s="277"/>
      <c r="K490" s="38">
        <v>443050</v>
      </c>
      <c r="L490" s="39" t="s">
        <v>9</v>
      </c>
      <c r="M490" s="699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23"/>
        <v>6</v>
      </c>
      <c r="C491" s="37">
        <v>41066</v>
      </c>
      <c r="D491" s="195" t="s">
        <v>541</v>
      </c>
      <c r="E491" s="37">
        <v>41066</v>
      </c>
      <c r="F491" s="40" t="s">
        <v>891</v>
      </c>
      <c r="G491" s="40" t="s">
        <v>892</v>
      </c>
      <c r="H491" s="46" t="s">
        <v>893</v>
      </c>
      <c r="I491" s="277">
        <v>600</v>
      </c>
      <c r="J491" s="277">
        <v>8930</v>
      </c>
      <c r="K491" s="38">
        <v>5358000</v>
      </c>
      <c r="L491" s="39" t="s">
        <v>186</v>
      </c>
      <c r="M491" s="699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23"/>
        <v>6</v>
      </c>
      <c r="C492" s="37">
        <v>41066</v>
      </c>
      <c r="D492" s="195" t="s">
        <v>541</v>
      </c>
      <c r="E492" s="37">
        <v>41066</v>
      </c>
      <c r="F492" s="40" t="s">
        <v>894</v>
      </c>
      <c r="G492" s="580" t="s">
        <v>892</v>
      </c>
      <c r="H492" s="45" t="s">
        <v>893</v>
      </c>
      <c r="I492" s="277">
        <v>600</v>
      </c>
      <c r="J492" s="277">
        <v>12066</v>
      </c>
      <c r="K492" s="38">
        <v>7239600</v>
      </c>
      <c r="L492" s="39" t="s">
        <v>186</v>
      </c>
      <c r="M492" s="699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23"/>
        <v>6</v>
      </c>
      <c r="C493" s="37">
        <v>41066</v>
      </c>
      <c r="D493" s="195" t="s">
        <v>541</v>
      </c>
      <c r="E493" s="37">
        <v>41066</v>
      </c>
      <c r="F493" s="40" t="s">
        <v>895</v>
      </c>
      <c r="G493" s="580" t="s">
        <v>892</v>
      </c>
      <c r="H493" s="45" t="s">
        <v>893</v>
      </c>
      <c r="I493" s="277"/>
      <c r="J493" s="277"/>
      <c r="K493" s="38">
        <v>1259760</v>
      </c>
      <c r="L493" s="39" t="s">
        <v>9</v>
      </c>
      <c r="M493" s="699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23"/>
        <v>6</v>
      </c>
      <c r="C494" s="37">
        <v>41066</v>
      </c>
      <c r="D494" s="37" t="s">
        <v>489</v>
      </c>
      <c r="E494" s="37">
        <v>41066</v>
      </c>
      <c r="F494" s="40" t="s">
        <v>455</v>
      </c>
      <c r="G494" s="40" t="s">
        <v>892</v>
      </c>
      <c r="H494" s="40" t="s">
        <v>893</v>
      </c>
      <c r="I494" s="277"/>
      <c r="J494" s="277"/>
      <c r="K494" s="38">
        <v>13857360</v>
      </c>
      <c r="L494" s="39" t="s">
        <v>8</v>
      </c>
      <c r="M494" s="39" t="s">
        <v>49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>x</v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23"/>
        <v>6</v>
      </c>
      <c r="C495" s="37">
        <v>41066</v>
      </c>
      <c r="D495" s="195" t="s">
        <v>1112</v>
      </c>
      <c r="E495" s="37">
        <v>41066</v>
      </c>
      <c r="F495" s="40" t="s">
        <v>896</v>
      </c>
      <c r="G495" s="40" t="s">
        <v>897</v>
      </c>
      <c r="H495" s="7" t="s">
        <v>487</v>
      </c>
      <c r="I495" s="277">
        <v>200</v>
      </c>
      <c r="J495" s="277">
        <v>13789</v>
      </c>
      <c r="K495" s="38">
        <v>2757800</v>
      </c>
      <c r="L495" s="39" t="s">
        <v>186</v>
      </c>
      <c r="M495" s="699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23"/>
        <v>6</v>
      </c>
      <c r="C496" s="37">
        <v>41066</v>
      </c>
      <c r="D496" s="195" t="s">
        <v>1112</v>
      </c>
      <c r="E496" s="37">
        <v>41066</v>
      </c>
      <c r="F496" s="40" t="s">
        <v>898</v>
      </c>
      <c r="G496" s="40" t="s">
        <v>897</v>
      </c>
      <c r="H496" s="7" t="s">
        <v>487</v>
      </c>
      <c r="I496" s="277">
        <v>200</v>
      </c>
      <c r="J496" s="277">
        <v>9324</v>
      </c>
      <c r="K496" s="38">
        <v>1864800</v>
      </c>
      <c r="L496" s="39" t="s">
        <v>186</v>
      </c>
      <c r="M496" s="699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23"/>
        <v>6</v>
      </c>
      <c r="C497" s="37">
        <v>41066</v>
      </c>
      <c r="D497" s="195" t="s">
        <v>1112</v>
      </c>
      <c r="E497" s="37">
        <v>41066</v>
      </c>
      <c r="F497" s="40" t="s">
        <v>852</v>
      </c>
      <c r="G497" s="40" t="s">
        <v>897</v>
      </c>
      <c r="H497" s="7" t="s">
        <v>487</v>
      </c>
      <c r="I497" s="277">
        <v>200</v>
      </c>
      <c r="J497" s="277">
        <v>21119</v>
      </c>
      <c r="K497" s="38">
        <v>4223800</v>
      </c>
      <c r="L497" s="39" t="s">
        <v>186</v>
      </c>
      <c r="M497" s="699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  <c r="AC497" s="226" t="str">
        <f>IF(ISNA(VLOOKUP(F497,NXT!$C$18:$C$347,1,0)),x,"")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si="23"/>
        <v>6</v>
      </c>
      <c r="C498" s="37">
        <v>41066</v>
      </c>
      <c r="D498" s="195" t="s">
        <v>1112</v>
      </c>
      <c r="E498" s="37">
        <v>41066</v>
      </c>
      <c r="F498" s="40" t="s">
        <v>800</v>
      </c>
      <c r="G498" s="40" t="s">
        <v>897</v>
      </c>
      <c r="H498" s="7" t="s">
        <v>487</v>
      </c>
      <c r="I498" s="277">
        <v>1600</v>
      </c>
      <c r="J498" s="277">
        <v>10775</v>
      </c>
      <c r="K498" s="38">
        <v>17240000</v>
      </c>
      <c r="L498" s="39" t="s">
        <v>186</v>
      </c>
      <c r="M498" s="699" t="s">
        <v>8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  <c r="AC498" s="226" t="str">
        <f>IF(ISNA(VLOOKUP(F498,NXT!$C$18:$C$347,1,0)),x,"")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23"/>
        <v>6</v>
      </c>
      <c r="C499" s="37">
        <v>41066</v>
      </c>
      <c r="D499" s="195" t="s">
        <v>1112</v>
      </c>
      <c r="E499" s="37">
        <v>41066</v>
      </c>
      <c r="F499" s="40" t="s">
        <v>573</v>
      </c>
      <c r="G499" s="40" t="s">
        <v>897</v>
      </c>
      <c r="H499" s="7" t="s">
        <v>487</v>
      </c>
      <c r="I499" s="277"/>
      <c r="J499" s="277"/>
      <c r="K499" s="38">
        <v>2608640</v>
      </c>
      <c r="L499" s="39" t="s">
        <v>9</v>
      </c>
      <c r="M499" s="699" t="s">
        <v>8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23"/>
        <v>6</v>
      </c>
      <c r="C500" s="37">
        <v>41068</v>
      </c>
      <c r="D500" s="37" t="s">
        <v>404</v>
      </c>
      <c r="E500" s="37">
        <v>41068</v>
      </c>
      <c r="F500" s="40" t="s">
        <v>406</v>
      </c>
      <c r="G500" s="40" t="s">
        <v>401</v>
      </c>
      <c r="H500" s="48" t="s">
        <v>1137</v>
      </c>
      <c r="I500" s="277"/>
      <c r="J500" s="277"/>
      <c r="K500" s="38">
        <v>60240213</v>
      </c>
      <c r="L500" s="39" t="s">
        <v>24</v>
      </c>
      <c r="M500" s="39" t="s">
        <v>311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>x</v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  <c r="AD500" s="689"/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si="23"/>
        <v>6</v>
      </c>
      <c r="C501" s="37">
        <v>41068</v>
      </c>
      <c r="D501" s="205" t="s">
        <v>404</v>
      </c>
      <c r="E501" s="37">
        <v>41068</v>
      </c>
      <c r="F501" s="40" t="s">
        <v>406</v>
      </c>
      <c r="G501" s="580" t="s">
        <v>401</v>
      </c>
      <c r="H501" s="7" t="s">
        <v>1553</v>
      </c>
      <c r="I501" s="277"/>
      <c r="J501" s="277"/>
      <c r="K501" s="38">
        <v>18522867</v>
      </c>
      <c r="L501" s="39" t="s">
        <v>24</v>
      </c>
      <c r="M501" s="39" t="s">
        <v>311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>x</v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  <c r="AD501" s="689"/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23"/>
        <v>6</v>
      </c>
      <c r="C502" s="37">
        <v>41068</v>
      </c>
      <c r="D502" s="205" t="s">
        <v>404</v>
      </c>
      <c r="E502" s="37">
        <v>41068</v>
      </c>
      <c r="F502" s="40" t="s">
        <v>406</v>
      </c>
      <c r="G502" s="40" t="s">
        <v>401</v>
      </c>
      <c r="H502" s="45" t="s">
        <v>1136</v>
      </c>
      <c r="I502" s="277"/>
      <c r="J502" s="277"/>
      <c r="K502" s="38">
        <v>8479130</v>
      </c>
      <c r="L502" s="39" t="s">
        <v>24</v>
      </c>
      <c r="M502" s="39" t="s">
        <v>311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>x</v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D502" s="689"/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23"/>
        <v>6</v>
      </c>
      <c r="C503" s="37">
        <v>41068</v>
      </c>
      <c r="D503" s="37" t="s">
        <v>405</v>
      </c>
      <c r="E503" s="37">
        <v>41068</v>
      </c>
      <c r="F503" s="40" t="s">
        <v>455</v>
      </c>
      <c r="G503" s="40" t="s">
        <v>401</v>
      </c>
      <c r="H503" s="45"/>
      <c r="I503" s="277"/>
      <c r="J503" s="277"/>
      <c r="K503" s="38">
        <v>13857360</v>
      </c>
      <c r="L503" s="39" t="s">
        <v>8</v>
      </c>
      <c r="M503" s="39" t="s">
        <v>24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>x</v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23"/>
        <v>6</v>
      </c>
      <c r="C504" s="37">
        <v>41068</v>
      </c>
      <c r="D504" s="37" t="s">
        <v>405</v>
      </c>
      <c r="E504" s="37">
        <v>41068</v>
      </c>
      <c r="F504" s="40" t="s">
        <v>407</v>
      </c>
      <c r="G504" s="40" t="s">
        <v>401</v>
      </c>
      <c r="H504" s="45"/>
      <c r="I504" s="277"/>
      <c r="J504" s="277"/>
      <c r="K504" s="38">
        <v>20000</v>
      </c>
      <c r="L504" s="39" t="s">
        <v>87</v>
      </c>
      <c r="M504" s="39" t="s">
        <v>24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>x</v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23"/>
        <v>6</v>
      </c>
      <c r="C505" s="37">
        <v>41068</v>
      </c>
      <c r="D505" s="195" t="s">
        <v>1113</v>
      </c>
      <c r="E505" s="37">
        <v>41068</v>
      </c>
      <c r="F505" s="40" t="s">
        <v>899</v>
      </c>
      <c r="G505" s="40" t="s">
        <v>900</v>
      </c>
      <c r="H505" s="7" t="s">
        <v>487</v>
      </c>
      <c r="I505" s="277">
        <v>103</v>
      </c>
      <c r="J505" s="277">
        <v>23725</v>
      </c>
      <c r="K505" s="38">
        <v>2443675</v>
      </c>
      <c r="L505" s="39" t="s">
        <v>186</v>
      </c>
      <c r="M505" s="699" t="s">
        <v>8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  <c r="AC505" s="226" t="str">
        <f>IF(ISNA(VLOOKUP(F505,NXT!$C$18:$C$347,1,0)),x,"")</f>
        <v/>
      </c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23"/>
        <v>6</v>
      </c>
      <c r="C506" s="37">
        <v>41068</v>
      </c>
      <c r="D506" s="195" t="s">
        <v>1113</v>
      </c>
      <c r="E506" s="37">
        <v>41068</v>
      </c>
      <c r="F506" s="40" t="s">
        <v>901</v>
      </c>
      <c r="G506" s="40" t="s">
        <v>900</v>
      </c>
      <c r="H506" s="7" t="s">
        <v>487</v>
      </c>
      <c r="I506" s="277">
        <v>100</v>
      </c>
      <c r="J506" s="277">
        <v>29734</v>
      </c>
      <c r="K506" s="38">
        <v>2973400</v>
      </c>
      <c r="L506" s="39" t="s">
        <v>186</v>
      </c>
      <c r="M506" s="699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23"/>
        <v>6</v>
      </c>
      <c r="C507" s="37">
        <v>41068</v>
      </c>
      <c r="D507" s="195" t="s">
        <v>1113</v>
      </c>
      <c r="E507" s="37">
        <v>41068</v>
      </c>
      <c r="F507" s="40" t="s">
        <v>902</v>
      </c>
      <c r="G507" s="40" t="s">
        <v>900</v>
      </c>
      <c r="H507" s="7" t="s">
        <v>487</v>
      </c>
      <c r="I507" s="277">
        <v>120</v>
      </c>
      <c r="J507" s="277">
        <v>26664</v>
      </c>
      <c r="K507" s="38">
        <v>3199680</v>
      </c>
      <c r="L507" s="39" t="s">
        <v>186</v>
      </c>
      <c r="M507" s="699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  <c r="AC507" s="226" t="str">
        <f>IF(ISNA(VLOOKUP(F507,NXT!$C$18:$C$347,1,0)),x,"")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23"/>
        <v>6</v>
      </c>
      <c r="C508" s="37">
        <v>41068</v>
      </c>
      <c r="D508" s="195" t="s">
        <v>1113</v>
      </c>
      <c r="E508" s="37">
        <v>41068</v>
      </c>
      <c r="F508" s="40" t="s">
        <v>903</v>
      </c>
      <c r="G508" s="40" t="s">
        <v>900</v>
      </c>
      <c r="H508" s="7" t="s">
        <v>487</v>
      </c>
      <c r="I508" s="277">
        <v>170</v>
      </c>
      <c r="J508" s="277">
        <v>30997</v>
      </c>
      <c r="K508" s="38">
        <v>5269490</v>
      </c>
      <c r="L508" s="39" t="s">
        <v>186</v>
      </c>
      <c r="M508" s="699" t="s">
        <v>8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  <c r="AC508" s="226" t="str">
        <f>IF(ISNA(VLOOKUP(F508,NXT!$C$18:$C$347,1,0)),x,"")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23"/>
        <v>6</v>
      </c>
      <c r="C509" s="37">
        <v>41068</v>
      </c>
      <c r="D509" s="195" t="s">
        <v>1113</v>
      </c>
      <c r="E509" s="37">
        <v>41068</v>
      </c>
      <c r="F509" s="40" t="s">
        <v>904</v>
      </c>
      <c r="G509" s="40" t="s">
        <v>900</v>
      </c>
      <c r="H509" s="7" t="s">
        <v>487</v>
      </c>
      <c r="I509" s="277">
        <v>50</v>
      </c>
      <c r="J509" s="277">
        <v>38106</v>
      </c>
      <c r="K509" s="38">
        <v>1905300</v>
      </c>
      <c r="L509" s="39" t="s">
        <v>186</v>
      </c>
      <c r="M509" s="699" t="s">
        <v>8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  <c r="AC509" s="226" t="str">
        <f>IF(ISNA(VLOOKUP(F509,NXT!$C$18:$C$347,1,0)),x,"")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23"/>
        <v>6</v>
      </c>
      <c r="C510" s="37">
        <v>41068</v>
      </c>
      <c r="D510" s="195" t="s">
        <v>1113</v>
      </c>
      <c r="E510" s="37">
        <v>41068</v>
      </c>
      <c r="F510" s="40" t="s">
        <v>573</v>
      </c>
      <c r="G510" s="40" t="s">
        <v>900</v>
      </c>
      <c r="H510" s="7" t="s">
        <v>487</v>
      </c>
      <c r="I510" s="277"/>
      <c r="J510" s="277"/>
      <c r="K510" s="38">
        <v>1579155</v>
      </c>
      <c r="L510" s="39" t="s">
        <v>9</v>
      </c>
      <c r="M510" s="699" t="s">
        <v>8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23"/>
        <v>6</v>
      </c>
      <c r="C511" s="37">
        <v>41068</v>
      </c>
      <c r="D511" s="195" t="s">
        <v>1114</v>
      </c>
      <c r="E511" s="37">
        <v>41068</v>
      </c>
      <c r="F511" s="40" t="s">
        <v>905</v>
      </c>
      <c r="G511" s="40" t="s">
        <v>906</v>
      </c>
      <c r="H511" s="7" t="s">
        <v>487</v>
      </c>
      <c r="I511" s="277">
        <v>550</v>
      </c>
      <c r="J511" s="277">
        <v>9891</v>
      </c>
      <c r="K511" s="38">
        <v>5440050</v>
      </c>
      <c r="L511" s="39" t="s">
        <v>186</v>
      </c>
      <c r="M511" s="699" t="s">
        <v>8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  <c r="AC511" s="226" t="str">
        <f>IF(ISNA(VLOOKUP(F511,NXT!$C$18:$C$347,1,0)),x,"")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23"/>
        <v>6</v>
      </c>
      <c r="C512" s="37">
        <v>41068</v>
      </c>
      <c r="D512" s="195" t="s">
        <v>1114</v>
      </c>
      <c r="E512" s="37">
        <v>41068</v>
      </c>
      <c r="F512" s="40" t="s">
        <v>744</v>
      </c>
      <c r="G512" s="40" t="s">
        <v>906</v>
      </c>
      <c r="H512" s="7" t="s">
        <v>487</v>
      </c>
      <c r="I512" s="277">
        <v>340</v>
      </c>
      <c r="J512" s="277">
        <v>14573</v>
      </c>
      <c r="K512" s="38">
        <v>4954820</v>
      </c>
      <c r="L512" s="39" t="s">
        <v>186</v>
      </c>
      <c r="M512" s="699" t="s">
        <v>8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  <c r="AC512" s="226" t="str">
        <f>IF(ISNA(VLOOKUP(F512,NXT!$C$18:$C$347,1,0)),x,"")</f>
        <v/>
      </c>
    </row>
    <row r="513" spans="1:29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23"/>
        <v>6</v>
      </c>
      <c r="C513" s="37">
        <v>41068</v>
      </c>
      <c r="D513" s="195" t="s">
        <v>1114</v>
      </c>
      <c r="E513" s="37">
        <v>41068</v>
      </c>
      <c r="F513" s="40" t="s">
        <v>907</v>
      </c>
      <c r="G513" s="40" t="s">
        <v>906</v>
      </c>
      <c r="H513" s="7" t="s">
        <v>487</v>
      </c>
      <c r="I513" s="277">
        <v>40</v>
      </c>
      <c r="J513" s="277">
        <v>28207</v>
      </c>
      <c r="K513" s="38">
        <v>1128280</v>
      </c>
      <c r="L513" s="39" t="s">
        <v>186</v>
      </c>
      <c r="M513" s="699" t="s">
        <v>8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  <c r="AC513" s="226" t="str">
        <f>IF(ISNA(VLOOKUP(F513,NXT!$C$18:$C$347,1,0)),x,"")</f>
        <v/>
      </c>
    </row>
    <row r="514" spans="1:29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23"/>
        <v>6</v>
      </c>
      <c r="C514" s="37">
        <v>41068</v>
      </c>
      <c r="D514" s="195" t="s">
        <v>1114</v>
      </c>
      <c r="E514" s="37">
        <v>41068</v>
      </c>
      <c r="F514" s="40" t="s">
        <v>908</v>
      </c>
      <c r="G514" s="40" t="s">
        <v>906</v>
      </c>
      <c r="H514" s="7" t="s">
        <v>487</v>
      </c>
      <c r="I514" s="277">
        <v>840</v>
      </c>
      <c r="J514" s="277">
        <v>27405</v>
      </c>
      <c r="K514" s="38">
        <v>23020200</v>
      </c>
      <c r="L514" s="39" t="s">
        <v>186</v>
      </c>
      <c r="M514" s="699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29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23"/>
        <v>6</v>
      </c>
      <c r="C515" s="37">
        <v>41068</v>
      </c>
      <c r="D515" s="195" t="s">
        <v>1114</v>
      </c>
      <c r="E515" s="37">
        <v>41068</v>
      </c>
      <c r="F515" s="40" t="s">
        <v>573</v>
      </c>
      <c r="G515" s="40" t="s">
        <v>906</v>
      </c>
      <c r="H515" s="7" t="s">
        <v>487</v>
      </c>
      <c r="I515" s="278"/>
      <c r="J515" s="278"/>
      <c r="K515" s="38">
        <v>3454335</v>
      </c>
      <c r="L515" s="39" t="s">
        <v>9</v>
      </c>
      <c r="M515" s="699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</row>
    <row r="516" spans="1:29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23"/>
        <v>6</v>
      </c>
      <c r="C516" s="37">
        <v>41071</v>
      </c>
      <c r="D516" s="37" t="s">
        <v>490</v>
      </c>
      <c r="E516" s="205">
        <v>41071</v>
      </c>
      <c r="F516" s="206" t="s">
        <v>909</v>
      </c>
      <c r="G516" s="581" t="s">
        <v>910</v>
      </c>
      <c r="H516" s="207" t="s">
        <v>456</v>
      </c>
      <c r="I516" s="277"/>
      <c r="J516" s="277"/>
      <c r="K516" s="38">
        <v>1600000</v>
      </c>
      <c r="L516" s="208" t="s">
        <v>194</v>
      </c>
      <c r="M516" s="39" t="s">
        <v>49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>x</v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</row>
    <row r="517" spans="1:29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23"/>
        <v>6</v>
      </c>
      <c r="C517" s="37">
        <v>41071</v>
      </c>
      <c r="D517" s="37" t="s">
        <v>490</v>
      </c>
      <c r="E517" s="205">
        <v>41071</v>
      </c>
      <c r="F517" s="206" t="s">
        <v>413</v>
      </c>
      <c r="G517" s="581" t="s">
        <v>910</v>
      </c>
      <c r="H517" s="207" t="s">
        <v>456</v>
      </c>
      <c r="I517" s="277"/>
      <c r="J517" s="277"/>
      <c r="K517" s="38">
        <v>160000</v>
      </c>
      <c r="L517" s="208" t="s">
        <v>9</v>
      </c>
      <c r="M517" s="39" t="s">
        <v>49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>x</v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29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23"/>
        <v>6</v>
      </c>
      <c r="C518" s="37">
        <v>41071</v>
      </c>
      <c r="D518" s="195" t="s">
        <v>1115</v>
      </c>
      <c r="E518" s="205">
        <v>41071</v>
      </c>
      <c r="F518" s="40" t="s">
        <v>911</v>
      </c>
      <c r="G518" s="580" t="s">
        <v>912</v>
      </c>
      <c r="H518" s="7" t="s">
        <v>487</v>
      </c>
      <c r="I518" s="277">
        <v>630</v>
      </c>
      <c r="J518" s="277">
        <v>13042</v>
      </c>
      <c r="K518" s="38">
        <v>8216460</v>
      </c>
      <c r="L518" s="39" t="s">
        <v>186</v>
      </c>
      <c r="M518" s="699" t="s">
        <v>8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  <c r="AC518" s="226" t="str">
        <f>IF(ISNA(VLOOKUP(F518,NXT!$C$18:$C$347,1,0)),x,"")</f>
        <v/>
      </c>
    </row>
    <row r="519" spans="1:29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23"/>
        <v>6</v>
      </c>
      <c r="C519" s="37">
        <v>41071</v>
      </c>
      <c r="D519" s="195" t="s">
        <v>1115</v>
      </c>
      <c r="E519" s="205">
        <v>41071</v>
      </c>
      <c r="F519" s="40" t="s">
        <v>750</v>
      </c>
      <c r="G519" s="580" t="s">
        <v>912</v>
      </c>
      <c r="H519" s="7" t="s">
        <v>487</v>
      </c>
      <c r="I519" s="277">
        <v>625</v>
      </c>
      <c r="J519" s="277">
        <v>19819</v>
      </c>
      <c r="K519" s="38">
        <v>12386875</v>
      </c>
      <c r="L519" s="39" t="s">
        <v>186</v>
      </c>
      <c r="M519" s="699" t="s">
        <v>8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  <c r="AC519" s="226" t="str">
        <f>IF(ISNA(VLOOKUP(F519,NXT!$C$18:$C$347,1,0)),x,"")</f>
        <v/>
      </c>
    </row>
    <row r="520" spans="1:29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23"/>
        <v>6</v>
      </c>
      <c r="C520" s="37">
        <v>41071</v>
      </c>
      <c r="D520" s="195" t="s">
        <v>1115</v>
      </c>
      <c r="E520" s="205">
        <v>41071</v>
      </c>
      <c r="F520" s="40" t="s">
        <v>753</v>
      </c>
      <c r="G520" s="40" t="s">
        <v>912</v>
      </c>
      <c r="H520" s="7" t="s">
        <v>487</v>
      </c>
      <c r="I520" s="277">
        <v>315</v>
      </c>
      <c r="J520" s="277">
        <v>19041</v>
      </c>
      <c r="K520" s="38">
        <v>5997915</v>
      </c>
      <c r="L520" s="39" t="s">
        <v>186</v>
      </c>
      <c r="M520" s="699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29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23"/>
        <v>6</v>
      </c>
      <c r="C521" s="37">
        <v>41071</v>
      </c>
      <c r="D521" s="195" t="s">
        <v>1115</v>
      </c>
      <c r="E521" s="205">
        <v>41071</v>
      </c>
      <c r="F521" s="40" t="s">
        <v>913</v>
      </c>
      <c r="G521" s="40" t="s">
        <v>912</v>
      </c>
      <c r="H521" s="7" t="s">
        <v>487</v>
      </c>
      <c r="I521" s="277">
        <v>268</v>
      </c>
      <c r="J521" s="277">
        <v>21210</v>
      </c>
      <c r="K521" s="38">
        <v>5684280</v>
      </c>
      <c r="L521" s="39" t="s">
        <v>186</v>
      </c>
      <c r="M521" s="699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29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23"/>
        <v>6</v>
      </c>
      <c r="C522" s="37">
        <v>41071</v>
      </c>
      <c r="D522" s="195" t="s">
        <v>1115</v>
      </c>
      <c r="E522" s="205">
        <v>41071</v>
      </c>
      <c r="F522" s="40" t="s">
        <v>573</v>
      </c>
      <c r="G522" s="580" t="s">
        <v>912</v>
      </c>
      <c r="H522" s="7" t="s">
        <v>487</v>
      </c>
      <c r="I522" s="277"/>
      <c r="J522" s="277"/>
      <c r="K522" s="38">
        <v>3228553</v>
      </c>
      <c r="L522" s="39" t="s">
        <v>9</v>
      </c>
      <c r="M522" s="699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</row>
    <row r="523" spans="1:29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23"/>
        <v>6</v>
      </c>
      <c r="C523" s="37">
        <v>41071</v>
      </c>
      <c r="D523" s="195" t="s">
        <v>1116</v>
      </c>
      <c r="E523" s="205">
        <v>41071</v>
      </c>
      <c r="F523" s="40" t="s">
        <v>820</v>
      </c>
      <c r="G523" s="580" t="s">
        <v>914</v>
      </c>
      <c r="H523" s="7" t="s">
        <v>487</v>
      </c>
      <c r="I523" s="277">
        <v>140</v>
      </c>
      <c r="J523" s="277">
        <v>12985</v>
      </c>
      <c r="K523" s="38">
        <v>1817900</v>
      </c>
      <c r="L523" s="39" t="s">
        <v>186</v>
      </c>
      <c r="M523" s="699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  <c r="AC523" s="226" t="str">
        <f>IF(ISNA(VLOOKUP(F523,NXT!$C$18:$C$347,1,0)),x,"")</f>
        <v/>
      </c>
    </row>
    <row r="524" spans="1:29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23"/>
        <v>6</v>
      </c>
      <c r="C524" s="37">
        <v>41071</v>
      </c>
      <c r="D524" s="195" t="s">
        <v>1116</v>
      </c>
      <c r="E524" s="205">
        <v>41071</v>
      </c>
      <c r="F524" s="40" t="s">
        <v>915</v>
      </c>
      <c r="G524" s="580" t="s">
        <v>914</v>
      </c>
      <c r="H524" s="7" t="s">
        <v>487</v>
      </c>
      <c r="I524" s="277">
        <v>105</v>
      </c>
      <c r="J524" s="277">
        <v>17259</v>
      </c>
      <c r="K524" s="38">
        <v>1812195</v>
      </c>
      <c r="L524" s="39" t="s">
        <v>186</v>
      </c>
      <c r="M524" s="699" t="s">
        <v>8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  <c r="AC524" s="226" t="str">
        <f>IF(ISNA(VLOOKUP(F524,NXT!$C$18:$C$347,1,0)),x,"")</f>
        <v/>
      </c>
    </row>
    <row r="525" spans="1:29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23"/>
        <v>6</v>
      </c>
      <c r="C525" s="37">
        <v>41071</v>
      </c>
      <c r="D525" s="195" t="s">
        <v>1116</v>
      </c>
      <c r="E525" s="205">
        <v>41071</v>
      </c>
      <c r="F525" s="40" t="s">
        <v>916</v>
      </c>
      <c r="G525" s="580" t="s">
        <v>914</v>
      </c>
      <c r="H525" s="7" t="s">
        <v>487</v>
      </c>
      <c r="I525" s="277">
        <v>440</v>
      </c>
      <c r="J525" s="277">
        <v>23370</v>
      </c>
      <c r="K525" s="38">
        <v>10282800</v>
      </c>
      <c r="L525" s="39" t="s">
        <v>186</v>
      </c>
      <c r="M525" s="699" t="s">
        <v>8</v>
      </c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29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23"/>
        <v>6</v>
      </c>
      <c r="C526" s="37">
        <v>41071</v>
      </c>
      <c r="D526" s="195" t="s">
        <v>1116</v>
      </c>
      <c r="E526" s="205">
        <v>41071</v>
      </c>
      <c r="F526" s="40" t="s">
        <v>743</v>
      </c>
      <c r="G526" s="580" t="s">
        <v>914</v>
      </c>
      <c r="H526" s="7" t="s">
        <v>487</v>
      </c>
      <c r="I526" s="277">
        <v>205</v>
      </c>
      <c r="J526" s="277">
        <v>13099</v>
      </c>
      <c r="K526" s="38">
        <v>2685295</v>
      </c>
      <c r="L526" s="39" t="s">
        <v>186</v>
      </c>
      <c r="M526" s="699" t="s">
        <v>8</v>
      </c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29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23"/>
        <v>6</v>
      </c>
      <c r="C527" s="37">
        <v>41071</v>
      </c>
      <c r="D527" s="195" t="s">
        <v>1116</v>
      </c>
      <c r="E527" s="205">
        <v>41071</v>
      </c>
      <c r="F527" s="40" t="s">
        <v>753</v>
      </c>
      <c r="G527" s="580" t="s">
        <v>914</v>
      </c>
      <c r="H527" s="7" t="s">
        <v>487</v>
      </c>
      <c r="I527" s="277">
        <v>380</v>
      </c>
      <c r="J527" s="277">
        <v>19041</v>
      </c>
      <c r="K527" s="38">
        <v>7235580</v>
      </c>
      <c r="L527" s="39" t="s">
        <v>186</v>
      </c>
      <c r="M527" s="699" t="s">
        <v>8</v>
      </c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29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23"/>
        <v>6</v>
      </c>
      <c r="C528" s="37">
        <v>41071</v>
      </c>
      <c r="D528" s="195" t="s">
        <v>1116</v>
      </c>
      <c r="E528" s="205">
        <v>41071</v>
      </c>
      <c r="F528" s="206" t="s">
        <v>917</v>
      </c>
      <c r="G528" s="206" t="s">
        <v>914</v>
      </c>
      <c r="H528" s="7" t="s">
        <v>487</v>
      </c>
      <c r="I528" s="277">
        <v>282</v>
      </c>
      <c r="J528" s="277">
        <v>21210</v>
      </c>
      <c r="K528" s="38">
        <v>5981220</v>
      </c>
      <c r="L528" s="208" t="s">
        <v>186</v>
      </c>
      <c r="M528" s="699" t="s">
        <v>8</v>
      </c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23"/>
        <v>6</v>
      </c>
      <c r="C529" s="37">
        <v>41071</v>
      </c>
      <c r="D529" s="195" t="s">
        <v>1116</v>
      </c>
      <c r="E529" s="205">
        <v>41071</v>
      </c>
      <c r="F529" s="206" t="s">
        <v>573</v>
      </c>
      <c r="G529" s="581" t="s">
        <v>914</v>
      </c>
      <c r="H529" s="7" t="s">
        <v>487</v>
      </c>
      <c r="I529" s="277"/>
      <c r="J529" s="277"/>
      <c r="K529" s="38">
        <v>2981499</v>
      </c>
      <c r="L529" s="208" t="s">
        <v>9</v>
      </c>
      <c r="M529" s="699" t="s">
        <v>8</v>
      </c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ref="B530:B532" si="24">IF(C530&lt;&gt;"",MONTH(C530),"")</f>
        <v>6</v>
      </c>
      <c r="C530" s="37">
        <v>41073</v>
      </c>
      <c r="D530" s="205" t="s">
        <v>405</v>
      </c>
      <c r="E530" s="205">
        <v>41073</v>
      </c>
      <c r="F530" s="206" t="s">
        <v>455</v>
      </c>
      <c r="G530" s="581" t="s">
        <v>401</v>
      </c>
      <c r="H530" s="207"/>
      <c r="I530" s="277"/>
      <c r="J530" s="277"/>
      <c r="K530" s="38">
        <v>70000000</v>
      </c>
      <c r="L530" s="208" t="s">
        <v>8</v>
      </c>
      <c r="M530" s="39" t="s">
        <v>24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>x</v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24"/>
        <v>6</v>
      </c>
      <c r="C531" s="37">
        <v>41073</v>
      </c>
      <c r="D531" s="205" t="s">
        <v>405</v>
      </c>
      <c r="E531" s="205">
        <v>41073</v>
      </c>
      <c r="F531" s="206" t="s">
        <v>407</v>
      </c>
      <c r="G531" s="581" t="s">
        <v>401</v>
      </c>
      <c r="H531" s="207"/>
      <c r="I531" s="277"/>
      <c r="J531" s="277"/>
      <c r="K531" s="38">
        <v>35000</v>
      </c>
      <c r="L531" s="208" t="s">
        <v>87</v>
      </c>
      <c r="M531" s="39" t="s">
        <v>24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>x</v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24"/>
        <v>6</v>
      </c>
      <c r="C532" s="37">
        <v>41073</v>
      </c>
      <c r="D532" s="205" t="s">
        <v>491</v>
      </c>
      <c r="E532" s="205">
        <v>41073</v>
      </c>
      <c r="F532" s="206" t="s">
        <v>918</v>
      </c>
      <c r="G532" s="581" t="s">
        <v>919</v>
      </c>
      <c r="H532" s="207" t="s">
        <v>456</v>
      </c>
      <c r="I532" s="277"/>
      <c r="J532" s="277"/>
      <c r="K532" s="38">
        <v>1560000</v>
      </c>
      <c r="L532" s="208" t="s">
        <v>194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564" si="25">IF(C533&lt;&gt;"",MONTH(C533),"")</f>
        <v>6</v>
      </c>
      <c r="C533" s="37">
        <v>41073</v>
      </c>
      <c r="D533" s="205" t="s">
        <v>491</v>
      </c>
      <c r="E533" s="37">
        <v>41073</v>
      </c>
      <c r="F533" s="40" t="s">
        <v>413</v>
      </c>
      <c r="G533" s="40" t="s">
        <v>919</v>
      </c>
      <c r="H533" s="225" t="s">
        <v>456</v>
      </c>
      <c r="I533" s="277"/>
      <c r="J533" s="277"/>
      <c r="K533" s="38">
        <v>156000</v>
      </c>
      <c r="L533" s="39" t="s">
        <v>9</v>
      </c>
      <c r="M533" s="39" t="s">
        <v>49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>x</v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25"/>
        <v>6</v>
      </c>
      <c r="C534" s="37">
        <v>41073</v>
      </c>
      <c r="D534" s="195" t="s">
        <v>1117</v>
      </c>
      <c r="E534" s="37">
        <v>41073</v>
      </c>
      <c r="F534" s="40" t="s">
        <v>920</v>
      </c>
      <c r="G534" s="40" t="s">
        <v>921</v>
      </c>
      <c r="H534" s="7" t="s">
        <v>487</v>
      </c>
      <c r="I534" s="277">
        <v>100</v>
      </c>
      <c r="J534" s="277">
        <v>16140</v>
      </c>
      <c r="K534" s="38">
        <v>1614000</v>
      </c>
      <c r="L534" s="39" t="s">
        <v>186</v>
      </c>
      <c r="M534" s="699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25"/>
        <v>6</v>
      </c>
      <c r="C535" s="37">
        <v>41073</v>
      </c>
      <c r="D535" s="195" t="s">
        <v>1117</v>
      </c>
      <c r="E535" s="37">
        <v>41073</v>
      </c>
      <c r="F535" s="40" t="s">
        <v>922</v>
      </c>
      <c r="G535" s="40" t="s">
        <v>921</v>
      </c>
      <c r="H535" s="7" t="s">
        <v>487</v>
      </c>
      <c r="I535" s="277">
        <v>250</v>
      </c>
      <c r="J535" s="277">
        <v>19843</v>
      </c>
      <c r="K535" s="38">
        <v>4960750</v>
      </c>
      <c r="L535" s="39" t="s">
        <v>186</v>
      </c>
      <c r="M535" s="699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  <c r="AC535" s="226" t="str">
        <f>IF(ISNA(VLOOKUP(F535,NXT!$C$18:$C$347,1,0)),x,"")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25"/>
        <v>6</v>
      </c>
      <c r="C536" s="37">
        <v>41073</v>
      </c>
      <c r="D536" s="195" t="s">
        <v>1117</v>
      </c>
      <c r="E536" s="205">
        <v>41073</v>
      </c>
      <c r="F536" s="206" t="s">
        <v>573</v>
      </c>
      <c r="G536" s="581" t="s">
        <v>921</v>
      </c>
      <c r="H536" s="7" t="s">
        <v>487</v>
      </c>
      <c r="I536" s="277"/>
      <c r="J536" s="277"/>
      <c r="K536" s="38">
        <v>657475</v>
      </c>
      <c r="L536" s="208" t="s">
        <v>9</v>
      </c>
      <c r="M536" s="699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25"/>
        <v>6</v>
      </c>
      <c r="C537" s="37">
        <v>41075</v>
      </c>
      <c r="D537" s="205" t="s">
        <v>404</v>
      </c>
      <c r="E537" s="205">
        <v>41075</v>
      </c>
      <c r="F537" s="40" t="s">
        <v>406</v>
      </c>
      <c r="G537" s="581" t="s">
        <v>401</v>
      </c>
      <c r="H537" s="7" t="s">
        <v>1133</v>
      </c>
      <c r="I537" s="277"/>
      <c r="J537" s="277"/>
      <c r="K537" s="38">
        <v>20000000</v>
      </c>
      <c r="L537" s="208" t="s">
        <v>24</v>
      </c>
      <c r="M537" s="39" t="s">
        <v>311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>x</v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D537" s="689"/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25"/>
        <v>6</v>
      </c>
      <c r="C538" s="37">
        <v>41076</v>
      </c>
      <c r="D538" s="195" t="s">
        <v>1118</v>
      </c>
      <c r="E538" s="205">
        <v>41076</v>
      </c>
      <c r="F538" s="40" t="s">
        <v>793</v>
      </c>
      <c r="G538" s="581" t="s">
        <v>923</v>
      </c>
      <c r="H538" s="7" t="s">
        <v>487</v>
      </c>
      <c r="I538" s="277">
        <v>500</v>
      </c>
      <c r="J538" s="277">
        <v>18306</v>
      </c>
      <c r="K538" s="38">
        <v>9153000</v>
      </c>
      <c r="L538" s="208" t="s">
        <v>186</v>
      </c>
      <c r="M538" s="699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25"/>
        <v>6</v>
      </c>
      <c r="C539" s="37">
        <v>41076</v>
      </c>
      <c r="D539" s="195" t="s">
        <v>1118</v>
      </c>
      <c r="E539" s="205">
        <v>41076</v>
      </c>
      <c r="F539" s="40" t="s">
        <v>573</v>
      </c>
      <c r="G539" s="581" t="s">
        <v>923</v>
      </c>
      <c r="H539" s="7" t="s">
        <v>487</v>
      </c>
      <c r="I539" s="277"/>
      <c r="J539" s="277"/>
      <c r="K539" s="38">
        <v>915300</v>
      </c>
      <c r="L539" s="208" t="s">
        <v>9</v>
      </c>
      <c r="M539" s="699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25"/>
        <v>6</v>
      </c>
      <c r="C540" s="37">
        <v>41078</v>
      </c>
      <c r="D540" s="205" t="s">
        <v>493</v>
      </c>
      <c r="E540" s="205">
        <v>41078</v>
      </c>
      <c r="F540" s="40" t="s">
        <v>451</v>
      </c>
      <c r="G540" s="581" t="s">
        <v>401</v>
      </c>
      <c r="H540" s="45" t="s">
        <v>706</v>
      </c>
      <c r="I540" s="277"/>
      <c r="J540" s="277"/>
      <c r="K540" s="38">
        <v>50000000</v>
      </c>
      <c r="L540" s="208" t="s">
        <v>24</v>
      </c>
      <c r="M540" s="39" t="s">
        <v>49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>x</v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>x</v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25"/>
        <v>6</v>
      </c>
      <c r="C541" s="37">
        <v>41078</v>
      </c>
      <c r="D541" s="205" t="s">
        <v>405</v>
      </c>
      <c r="E541" s="205">
        <v>41078</v>
      </c>
      <c r="F541" s="40" t="s">
        <v>455</v>
      </c>
      <c r="G541" s="581" t="s">
        <v>401</v>
      </c>
      <c r="H541" s="45"/>
      <c r="I541" s="277"/>
      <c r="J541" s="277"/>
      <c r="K541" s="38">
        <v>73770000</v>
      </c>
      <c r="L541" s="208" t="s">
        <v>8</v>
      </c>
      <c r="M541" s="39" t="s">
        <v>24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>x</v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25"/>
        <v>6</v>
      </c>
      <c r="C542" s="37">
        <v>41078</v>
      </c>
      <c r="D542" s="205" t="s">
        <v>405</v>
      </c>
      <c r="E542" s="205">
        <v>41078</v>
      </c>
      <c r="F542" s="40" t="s">
        <v>407</v>
      </c>
      <c r="G542" s="581" t="s">
        <v>401</v>
      </c>
      <c r="H542" s="45"/>
      <c r="I542" s="277"/>
      <c r="J542" s="277"/>
      <c r="K542" s="38">
        <v>36885</v>
      </c>
      <c r="L542" s="208" t="s">
        <v>87</v>
      </c>
      <c r="M542" s="39" t="s">
        <v>24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>x</v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25"/>
        <v>6</v>
      </c>
      <c r="C543" s="37">
        <v>41078</v>
      </c>
      <c r="D543" s="205" t="s">
        <v>405</v>
      </c>
      <c r="E543" s="205">
        <v>41078</v>
      </c>
      <c r="F543" s="40" t="s">
        <v>865</v>
      </c>
      <c r="G543" s="581" t="s">
        <v>401</v>
      </c>
      <c r="H543" s="45"/>
      <c r="I543" s="277"/>
      <c r="J543" s="277"/>
      <c r="K543" s="38">
        <v>14729</v>
      </c>
      <c r="L543" s="208" t="s">
        <v>87</v>
      </c>
      <c r="M543" s="39" t="s">
        <v>24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>x</v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25"/>
        <v>6</v>
      </c>
      <c r="C544" s="37">
        <v>41080</v>
      </c>
      <c r="D544" s="205" t="s">
        <v>494</v>
      </c>
      <c r="E544" s="205">
        <v>41080</v>
      </c>
      <c r="F544" s="206" t="s">
        <v>924</v>
      </c>
      <c r="G544" s="581" t="s">
        <v>925</v>
      </c>
      <c r="H544" s="207" t="s">
        <v>456</v>
      </c>
      <c r="I544" s="278"/>
      <c r="J544" s="278"/>
      <c r="K544" s="38">
        <v>2920000</v>
      </c>
      <c r="L544" s="208" t="s">
        <v>194</v>
      </c>
      <c r="M544" s="39" t="s">
        <v>49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>x</v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25"/>
        <v>6</v>
      </c>
      <c r="C545" s="37">
        <v>41080</v>
      </c>
      <c r="D545" s="205" t="s">
        <v>494</v>
      </c>
      <c r="E545" s="205">
        <v>41080</v>
      </c>
      <c r="F545" s="206" t="s">
        <v>413</v>
      </c>
      <c r="G545" s="581" t="s">
        <v>925</v>
      </c>
      <c r="H545" s="207" t="s">
        <v>456</v>
      </c>
      <c r="I545" s="277"/>
      <c r="J545" s="277"/>
      <c r="K545" s="38">
        <v>292000</v>
      </c>
      <c r="L545" s="208" t="s">
        <v>9</v>
      </c>
      <c r="M545" s="39" t="s">
        <v>49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>x</v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25"/>
        <v>6</v>
      </c>
      <c r="C546" s="37">
        <v>41081</v>
      </c>
      <c r="D546" s="195" t="s">
        <v>1119</v>
      </c>
      <c r="E546" s="205">
        <v>41081</v>
      </c>
      <c r="F546" s="206" t="s">
        <v>926</v>
      </c>
      <c r="G546" s="581" t="s">
        <v>927</v>
      </c>
      <c r="H546" s="7" t="s">
        <v>487</v>
      </c>
      <c r="I546" s="277">
        <v>60</v>
      </c>
      <c r="J546" s="277">
        <v>25149</v>
      </c>
      <c r="K546" s="38">
        <v>1508940</v>
      </c>
      <c r="L546" s="208" t="s">
        <v>186</v>
      </c>
      <c r="M546" s="699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25"/>
        <v>6</v>
      </c>
      <c r="C547" s="37">
        <v>41081</v>
      </c>
      <c r="D547" s="195" t="s">
        <v>1119</v>
      </c>
      <c r="E547" s="205">
        <v>41081</v>
      </c>
      <c r="F547" s="40" t="s">
        <v>826</v>
      </c>
      <c r="G547" s="581" t="s">
        <v>927</v>
      </c>
      <c r="H547" s="7" t="s">
        <v>487</v>
      </c>
      <c r="I547" s="277">
        <v>1050</v>
      </c>
      <c r="J547" s="277">
        <v>22301</v>
      </c>
      <c r="K547" s="38">
        <v>23416050</v>
      </c>
      <c r="L547" s="208" t="s">
        <v>186</v>
      </c>
      <c r="M547" s="699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25"/>
        <v>6</v>
      </c>
      <c r="C548" s="37">
        <v>41081</v>
      </c>
      <c r="D548" s="195" t="s">
        <v>1119</v>
      </c>
      <c r="E548" s="205">
        <v>41081</v>
      </c>
      <c r="F548" s="206" t="s">
        <v>928</v>
      </c>
      <c r="G548" s="581" t="s">
        <v>927</v>
      </c>
      <c r="H548" s="7" t="s">
        <v>487</v>
      </c>
      <c r="I548" s="277">
        <v>500</v>
      </c>
      <c r="J548" s="277">
        <v>23028</v>
      </c>
      <c r="K548" s="38">
        <v>11514000</v>
      </c>
      <c r="L548" s="208" t="s">
        <v>186</v>
      </c>
      <c r="M548" s="699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  <c r="AC548" s="226" t="str">
        <f>IF(ISNA(VLOOKUP(F548,NXT!$C$18:$C$347,1,0)),x,"")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25"/>
        <v>6</v>
      </c>
      <c r="C549" s="37">
        <v>41081</v>
      </c>
      <c r="D549" s="195" t="s">
        <v>1119</v>
      </c>
      <c r="E549" s="205">
        <v>41081</v>
      </c>
      <c r="F549" s="206" t="s">
        <v>573</v>
      </c>
      <c r="G549" s="581" t="s">
        <v>927</v>
      </c>
      <c r="H549" s="7" t="s">
        <v>487</v>
      </c>
      <c r="I549" s="277"/>
      <c r="J549" s="277"/>
      <c r="K549" s="38">
        <v>3643899</v>
      </c>
      <c r="L549" s="208" t="s">
        <v>9</v>
      </c>
      <c r="M549" s="699" t="s">
        <v>8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25"/>
        <v>6</v>
      </c>
      <c r="C550" s="37">
        <v>41082</v>
      </c>
      <c r="D550" s="205" t="s">
        <v>404</v>
      </c>
      <c r="E550" s="205">
        <v>41082</v>
      </c>
      <c r="F550" s="206" t="s">
        <v>406</v>
      </c>
      <c r="G550" s="581" t="s">
        <v>401</v>
      </c>
      <c r="H550" s="7" t="s">
        <v>1135</v>
      </c>
      <c r="I550" s="278"/>
      <c r="J550" s="278"/>
      <c r="K550" s="38">
        <v>24783880</v>
      </c>
      <c r="L550" s="208" t="s">
        <v>24</v>
      </c>
      <c r="M550" s="39" t="s">
        <v>311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  <c r="AD550" s="689"/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25"/>
        <v>6</v>
      </c>
      <c r="C551" s="37">
        <v>41082</v>
      </c>
      <c r="D551" s="205" t="s">
        <v>404</v>
      </c>
      <c r="E551" s="205">
        <v>41082</v>
      </c>
      <c r="F551" s="206" t="s">
        <v>406</v>
      </c>
      <c r="G551" s="581" t="s">
        <v>401</v>
      </c>
      <c r="H551" s="7" t="s">
        <v>1131</v>
      </c>
      <c r="I551" s="277"/>
      <c r="J551" s="277"/>
      <c r="K551" s="38">
        <v>7681674</v>
      </c>
      <c r="L551" s="208" t="s">
        <v>24</v>
      </c>
      <c r="M551" s="39" t="s">
        <v>311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>x</v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D551" s="689"/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25"/>
        <v>6</v>
      </c>
      <c r="C552" s="37">
        <v>41082</v>
      </c>
      <c r="D552" s="195" t="s">
        <v>1120</v>
      </c>
      <c r="E552" s="37">
        <v>41082</v>
      </c>
      <c r="F552" s="206" t="s">
        <v>929</v>
      </c>
      <c r="G552" s="206" t="s">
        <v>930</v>
      </c>
      <c r="H552" s="7" t="s">
        <v>487</v>
      </c>
      <c r="I552" s="277">
        <v>250</v>
      </c>
      <c r="J552" s="277">
        <v>10290</v>
      </c>
      <c r="K552" s="38">
        <v>2572500</v>
      </c>
      <c r="L552" s="208" t="s">
        <v>186</v>
      </c>
      <c r="M552" s="699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25"/>
        <v>6</v>
      </c>
      <c r="C553" s="37">
        <v>41082</v>
      </c>
      <c r="D553" s="195" t="s">
        <v>1120</v>
      </c>
      <c r="E553" s="205">
        <v>41082</v>
      </c>
      <c r="F553" s="206" t="s">
        <v>931</v>
      </c>
      <c r="G553" s="206" t="s">
        <v>930</v>
      </c>
      <c r="H553" s="7" t="s">
        <v>487</v>
      </c>
      <c r="I553" s="277">
        <v>250</v>
      </c>
      <c r="J553" s="277">
        <v>18673</v>
      </c>
      <c r="K553" s="38">
        <v>4668250</v>
      </c>
      <c r="L553" s="208" t="s">
        <v>186</v>
      </c>
      <c r="M553" s="699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25"/>
        <v>6</v>
      </c>
      <c r="C554" s="37">
        <v>41082</v>
      </c>
      <c r="D554" s="195" t="s">
        <v>1120</v>
      </c>
      <c r="E554" s="205">
        <v>41082</v>
      </c>
      <c r="F554" s="40" t="s">
        <v>932</v>
      </c>
      <c r="G554" s="206" t="s">
        <v>930</v>
      </c>
      <c r="H554" s="7" t="s">
        <v>487</v>
      </c>
      <c r="I554" s="277">
        <v>100</v>
      </c>
      <c r="J554" s="277">
        <v>18443</v>
      </c>
      <c r="K554" s="38">
        <v>1844300</v>
      </c>
      <c r="L554" s="208" t="s">
        <v>186</v>
      </c>
      <c r="M554" s="699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25"/>
        <v>6</v>
      </c>
      <c r="C555" s="37">
        <v>41082</v>
      </c>
      <c r="D555" s="195" t="s">
        <v>1120</v>
      </c>
      <c r="E555" s="205">
        <v>41082</v>
      </c>
      <c r="F555" s="206" t="s">
        <v>573</v>
      </c>
      <c r="G555" s="206" t="s">
        <v>930</v>
      </c>
      <c r="H555" s="7" t="s">
        <v>487</v>
      </c>
      <c r="I555" s="277"/>
      <c r="J555" s="277"/>
      <c r="K555" s="38">
        <v>908505</v>
      </c>
      <c r="L555" s="208" t="s">
        <v>9</v>
      </c>
      <c r="M555" s="699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25"/>
        <v>6</v>
      </c>
      <c r="C556" s="37">
        <v>41085</v>
      </c>
      <c r="D556" s="205" t="s">
        <v>404</v>
      </c>
      <c r="E556" s="205">
        <v>41085</v>
      </c>
      <c r="F556" s="206" t="s">
        <v>453</v>
      </c>
      <c r="G556" s="206" t="s">
        <v>401</v>
      </c>
      <c r="H556" s="225"/>
      <c r="I556" s="277"/>
      <c r="J556" s="277"/>
      <c r="K556" s="38">
        <v>43545</v>
      </c>
      <c r="L556" s="208" t="s">
        <v>24</v>
      </c>
      <c r="M556" s="208" t="s">
        <v>41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>x</v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25"/>
        <v>6</v>
      </c>
      <c r="C557" s="37">
        <v>41085</v>
      </c>
      <c r="D557" s="195" t="s">
        <v>1121</v>
      </c>
      <c r="E557" s="205">
        <v>41085</v>
      </c>
      <c r="F557" s="40" t="s">
        <v>933</v>
      </c>
      <c r="G557" s="206" t="s">
        <v>934</v>
      </c>
      <c r="H557" s="207" t="s">
        <v>696</v>
      </c>
      <c r="I557" s="277">
        <v>250</v>
      </c>
      <c r="J557" s="277">
        <v>14469.12</v>
      </c>
      <c r="K557" s="38">
        <v>3617280</v>
      </c>
      <c r="L557" s="208" t="s">
        <v>186</v>
      </c>
      <c r="M557" s="699" t="s">
        <v>8</v>
      </c>
      <c r="N557" s="55" t="str">
        <f>IF(AND('331-CT'!$E$7=TH!H557,OR(L557="331",M557="331")),"x","")</f>
        <v>x</v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>x</v>
      </c>
      <c r="AC557" s="226" t="str">
        <f>IF(ISNA(VLOOKUP(F557,NXT!$C$18:$C$347,1,0)),x,"")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25"/>
        <v>6</v>
      </c>
      <c r="C558" s="37">
        <v>41085</v>
      </c>
      <c r="D558" s="195" t="s">
        <v>1121</v>
      </c>
      <c r="E558" s="37">
        <v>41085</v>
      </c>
      <c r="F558" s="40" t="s">
        <v>935</v>
      </c>
      <c r="G558" s="40" t="s">
        <v>934</v>
      </c>
      <c r="H558" s="225" t="s">
        <v>696</v>
      </c>
      <c r="I558" s="277">
        <v>100</v>
      </c>
      <c r="J558" s="277">
        <v>21081.599999999999</v>
      </c>
      <c r="K558" s="38">
        <v>2108160</v>
      </c>
      <c r="L558" s="39" t="s">
        <v>186</v>
      </c>
      <c r="M558" s="699" t="s">
        <v>8</v>
      </c>
      <c r="N558" s="55" t="str">
        <f>IF(AND('331-CT'!$E$7=TH!H558,OR(L558="331",M558="331")),"x","")</f>
        <v>x</v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>x</v>
      </c>
      <c r="AC558" s="226" t="str">
        <f>IF(ISNA(VLOOKUP(F558,NXT!$C$18:$C$347,1,0)),x,"")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25"/>
        <v>6</v>
      </c>
      <c r="C559" s="37">
        <v>41085</v>
      </c>
      <c r="D559" s="195" t="s">
        <v>1121</v>
      </c>
      <c r="E559" s="37">
        <v>41085</v>
      </c>
      <c r="F559" s="40" t="s">
        <v>936</v>
      </c>
      <c r="G559" s="40" t="s">
        <v>934</v>
      </c>
      <c r="H559" s="225" t="s">
        <v>696</v>
      </c>
      <c r="I559" s="277">
        <v>150</v>
      </c>
      <c r="J559" s="277">
        <v>11904</v>
      </c>
      <c r="K559" s="38">
        <v>1785600</v>
      </c>
      <c r="L559" s="39" t="s">
        <v>186</v>
      </c>
      <c r="M559" s="699" t="s">
        <v>8</v>
      </c>
      <c r="N559" s="55" t="str">
        <f>IF(AND('331-CT'!$E$7=TH!H559,OR(L559="331",M559="331")),"x","")</f>
        <v>x</v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>x</v>
      </c>
      <c r="AC559" s="226" t="str">
        <f>IF(ISNA(VLOOKUP(F559,NXT!$C$18:$C$347,1,0)),x,"")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25"/>
        <v>6</v>
      </c>
      <c r="C560" s="37">
        <v>41085</v>
      </c>
      <c r="D560" s="195" t="s">
        <v>1121</v>
      </c>
      <c r="E560" s="37">
        <v>41085</v>
      </c>
      <c r="F560" s="40" t="s">
        <v>937</v>
      </c>
      <c r="G560" s="40" t="s">
        <v>934</v>
      </c>
      <c r="H560" s="225" t="s">
        <v>696</v>
      </c>
      <c r="I560" s="277">
        <v>550</v>
      </c>
      <c r="J560" s="277">
        <v>10448.9</v>
      </c>
      <c r="K560" s="38">
        <v>5746895</v>
      </c>
      <c r="L560" s="39" t="s">
        <v>186</v>
      </c>
      <c r="M560" s="699" t="s">
        <v>8</v>
      </c>
      <c r="N560" s="55" t="str">
        <f>IF(AND('331-CT'!$E$7=TH!H560,OR(L560="331",M560="331")),"x","")</f>
        <v>x</v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>x</v>
      </c>
      <c r="AC560" s="226" t="str">
        <f>IF(ISNA(VLOOKUP(F560,NXT!$C$18:$C$347,1,0)),x,"")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25"/>
        <v>6</v>
      </c>
      <c r="C561" s="37">
        <v>41085</v>
      </c>
      <c r="D561" s="195" t="s">
        <v>1121</v>
      </c>
      <c r="E561" s="37">
        <v>41085</v>
      </c>
      <c r="F561" s="40" t="s">
        <v>889</v>
      </c>
      <c r="G561" s="40" t="s">
        <v>934</v>
      </c>
      <c r="H561" s="225" t="s">
        <v>696</v>
      </c>
      <c r="I561" s="277"/>
      <c r="J561" s="277"/>
      <c r="K561" s="38">
        <v>1325794</v>
      </c>
      <c r="L561" s="39" t="s">
        <v>9</v>
      </c>
      <c r="M561" s="699" t="s">
        <v>8</v>
      </c>
      <c r="N561" s="55" t="str">
        <f>IF(AND('331-CT'!$E$7=TH!H561,OR(L561="331",M561="331")),"x","")</f>
        <v>x</v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>x</v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si="25"/>
        <v>6</v>
      </c>
      <c r="C562" s="37">
        <v>41086</v>
      </c>
      <c r="D562" s="205" t="s">
        <v>404</v>
      </c>
      <c r="E562" s="37">
        <v>41086</v>
      </c>
      <c r="F562" s="40" t="s">
        <v>406</v>
      </c>
      <c r="G562" s="40" t="s">
        <v>401</v>
      </c>
      <c r="H562" s="225" t="s">
        <v>1138</v>
      </c>
      <c r="I562" s="277"/>
      <c r="J562" s="277"/>
      <c r="K562" s="38">
        <v>14608550</v>
      </c>
      <c r="L562" s="39" t="s">
        <v>24</v>
      </c>
      <c r="M562" s="39" t="s">
        <v>311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>x</v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>x</v>
      </c>
      <c r="AD562" s="689"/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25"/>
        <v>6</v>
      </c>
      <c r="C563" s="37">
        <v>41086</v>
      </c>
      <c r="D563" s="205" t="s">
        <v>495</v>
      </c>
      <c r="E563" s="37">
        <v>41086</v>
      </c>
      <c r="F563" s="40" t="s">
        <v>938</v>
      </c>
      <c r="G563" s="40" t="s">
        <v>939</v>
      </c>
      <c r="H563" s="225" t="s">
        <v>456</v>
      </c>
      <c r="I563" s="277"/>
      <c r="J563" s="277"/>
      <c r="K563" s="38">
        <v>1360000</v>
      </c>
      <c r="L563" s="39" t="s">
        <v>194</v>
      </c>
      <c r="M563" s="39" t="s">
        <v>49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>x</v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>x</v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25"/>
        <v>6</v>
      </c>
      <c r="C564" s="37">
        <v>41086</v>
      </c>
      <c r="D564" s="205" t="s">
        <v>495</v>
      </c>
      <c r="E564" s="37">
        <v>41086</v>
      </c>
      <c r="F564" s="40" t="s">
        <v>413</v>
      </c>
      <c r="G564" s="40" t="s">
        <v>939</v>
      </c>
      <c r="H564" s="225" t="s">
        <v>456</v>
      </c>
      <c r="I564" s="277"/>
      <c r="J564" s="277"/>
      <c r="K564" s="38">
        <v>136000</v>
      </c>
      <c r="L564" s="39" t="s">
        <v>9</v>
      </c>
      <c r="M564" s="39" t="s">
        <v>49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>x</v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>x</v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ref="B565:B634" si="26">IF(C565&lt;&gt;"",MONTH(C565),"")</f>
        <v>6</v>
      </c>
      <c r="C565" s="37">
        <v>41086</v>
      </c>
      <c r="D565" s="195" t="s">
        <v>1122</v>
      </c>
      <c r="E565" s="37">
        <v>41086</v>
      </c>
      <c r="F565" s="206" t="s">
        <v>940</v>
      </c>
      <c r="G565" s="40" t="s">
        <v>941</v>
      </c>
      <c r="H565" s="7" t="s">
        <v>487</v>
      </c>
      <c r="I565" s="277">
        <v>500</v>
      </c>
      <c r="J565" s="277">
        <v>20579</v>
      </c>
      <c r="K565" s="38">
        <v>10289500</v>
      </c>
      <c r="L565" s="208" t="s">
        <v>186</v>
      </c>
      <c r="M565" s="699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>x</v>
      </c>
      <c r="AC565" s="226" t="str">
        <f>IF(ISNA(VLOOKUP(F565,NXT!$C$18:$C$347,1,0)),x,"")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26"/>
        <v>6</v>
      </c>
      <c r="C566" s="37">
        <v>41086</v>
      </c>
      <c r="D566" s="195" t="s">
        <v>1122</v>
      </c>
      <c r="E566" s="205">
        <v>41086</v>
      </c>
      <c r="F566" s="206" t="s">
        <v>864</v>
      </c>
      <c r="G566" s="206" t="s">
        <v>941</v>
      </c>
      <c r="H566" s="7" t="s">
        <v>487</v>
      </c>
      <c r="I566" s="277">
        <v>140</v>
      </c>
      <c r="J566" s="277">
        <v>11817</v>
      </c>
      <c r="K566" s="38">
        <v>1654380</v>
      </c>
      <c r="L566" s="208" t="s">
        <v>186</v>
      </c>
      <c r="M566" s="699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>x</v>
      </c>
      <c r="AC566" s="226" t="str">
        <f>IF(ISNA(VLOOKUP(F566,NXT!$C$18:$C$347,1,0)),x,"")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26"/>
        <v>6</v>
      </c>
      <c r="C567" s="37">
        <v>41086</v>
      </c>
      <c r="D567" s="195" t="s">
        <v>1122</v>
      </c>
      <c r="E567" s="205">
        <v>41086</v>
      </c>
      <c r="F567" s="206" t="s">
        <v>573</v>
      </c>
      <c r="G567" s="581" t="s">
        <v>941</v>
      </c>
      <c r="H567" s="7" t="s">
        <v>487</v>
      </c>
      <c r="I567" s="277"/>
      <c r="J567" s="277"/>
      <c r="K567" s="38">
        <v>1194388</v>
      </c>
      <c r="L567" s="208" t="s">
        <v>9</v>
      </c>
      <c r="M567" s="699" t="s">
        <v>8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>x</v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26"/>
        <v>6</v>
      </c>
      <c r="C568" s="37">
        <v>41086</v>
      </c>
      <c r="D568" s="195" t="s">
        <v>1123</v>
      </c>
      <c r="E568" s="205">
        <v>41086</v>
      </c>
      <c r="F568" s="206" t="s">
        <v>568</v>
      </c>
      <c r="G568" s="581" t="s">
        <v>942</v>
      </c>
      <c r="H568" s="7" t="s">
        <v>487</v>
      </c>
      <c r="I568" s="277">
        <v>500</v>
      </c>
      <c r="J568" s="277">
        <v>11227</v>
      </c>
      <c r="K568" s="38">
        <v>5613500</v>
      </c>
      <c r="L568" s="208" t="s">
        <v>186</v>
      </c>
      <c r="M568" s="699" t="s">
        <v>8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>x</v>
      </c>
      <c r="AC568" s="226" t="str">
        <f>IF(ISNA(VLOOKUP(F568,NXT!$C$18:$C$347,1,0)),x,"")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26"/>
        <v>6</v>
      </c>
      <c r="C569" s="37">
        <v>41086</v>
      </c>
      <c r="D569" s="195" t="s">
        <v>1123</v>
      </c>
      <c r="E569" s="37">
        <v>41086</v>
      </c>
      <c r="F569" s="206" t="s">
        <v>943</v>
      </c>
      <c r="G569" s="206" t="s">
        <v>942</v>
      </c>
      <c r="H569" s="7" t="s">
        <v>487</v>
      </c>
      <c r="I569" s="277">
        <v>350</v>
      </c>
      <c r="J569" s="277">
        <v>16748</v>
      </c>
      <c r="K569" s="38">
        <v>5861800</v>
      </c>
      <c r="L569" s="208" t="s">
        <v>186</v>
      </c>
      <c r="M569" s="699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>x</v>
      </c>
      <c r="AC569" s="226" t="str">
        <f>IF(ISNA(VLOOKUP(F569,NXT!$C$18:$C$347,1,0)),x,"")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26"/>
        <v>6</v>
      </c>
      <c r="C570" s="37">
        <v>41086</v>
      </c>
      <c r="D570" s="195" t="s">
        <v>1123</v>
      </c>
      <c r="E570" s="205">
        <v>41086</v>
      </c>
      <c r="F570" s="206" t="s">
        <v>943</v>
      </c>
      <c r="G570" s="206" t="s">
        <v>942</v>
      </c>
      <c r="H570" s="7" t="s">
        <v>487</v>
      </c>
      <c r="I570" s="277">
        <v>330</v>
      </c>
      <c r="J570" s="277">
        <v>16748</v>
      </c>
      <c r="K570" s="38">
        <v>5526840</v>
      </c>
      <c r="L570" s="208" t="s">
        <v>186</v>
      </c>
      <c r="M570" s="699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>x</v>
      </c>
      <c r="AC570" s="226" t="str">
        <f>IF(ISNA(VLOOKUP(F570,NXT!$C$18:$C$347,1,0)),x,"")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26"/>
        <v>6</v>
      </c>
      <c r="C571" s="37">
        <v>41086</v>
      </c>
      <c r="D571" s="195" t="s">
        <v>1123</v>
      </c>
      <c r="E571" s="205">
        <v>41086</v>
      </c>
      <c r="F571" s="40" t="s">
        <v>944</v>
      </c>
      <c r="G571" s="206" t="s">
        <v>942</v>
      </c>
      <c r="H571" s="7" t="s">
        <v>487</v>
      </c>
      <c r="I571" s="277">
        <v>1030</v>
      </c>
      <c r="J571" s="277">
        <v>10374</v>
      </c>
      <c r="K571" s="38">
        <v>10685220</v>
      </c>
      <c r="L571" s="208" t="s">
        <v>186</v>
      </c>
      <c r="M571" s="699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>x</v>
      </c>
      <c r="AC571" s="226" t="str">
        <f>IF(ISNA(VLOOKUP(F571,NXT!$C$18:$C$347,1,0)),x,"")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26"/>
        <v>6</v>
      </c>
      <c r="C572" s="37">
        <v>41086</v>
      </c>
      <c r="D572" s="195" t="s">
        <v>1123</v>
      </c>
      <c r="E572" s="205">
        <v>41086</v>
      </c>
      <c r="F572" s="206" t="s">
        <v>945</v>
      </c>
      <c r="G572" s="206" t="s">
        <v>942</v>
      </c>
      <c r="H572" s="7" t="s">
        <v>487</v>
      </c>
      <c r="I572" s="277">
        <v>150</v>
      </c>
      <c r="J572" s="277">
        <v>25376</v>
      </c>
      <c r="K572" s="38">
        <v>3806400</v>
      </c>
      <c r="L572" s="208" t="s">
        <v>186</v>
      </c>
      <c r="M572" s="699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>x</v>
      </c>
      <c r="AC572" s="226" t="str">
        <f>IF(ISNA(VLOOKUP(F572,NXT!$C$18:$C$347,1,0)),x,"")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26"/>
        <v>6</v>
      </c>
      <c r="C573" s="37">
        <v>41086</v>
      </c>
      <c r="D573" s="195" t="s">
        <v>1123</v>
      </c>
      <c r="E573" s="205">
        <v>41086</v>
      </c>
      <c r="F573" s="206" t="s">
        <v>946</v>
      </c>
      <c r="G573" s="206" t="s">
        <v>942</v>
      </c>
      <c r="H573" s="7" t="s">
        <v>487</v>
      </c>
      <c r="I573" s="277">
        <v>860</v>
      </c>
      <c r="J573" s="277">
        <v>14403</v>
      </c>
      <c r="K573" s="278">
        <v>12386580</v>
      </c>
      <c r="L573" s="208" t="s">
        <v>186</v>
      </c>
      <c r="M573" s="699" t="s">
        <v>8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>x</v>
      </c>
      <c r="AC573" s="226" t="str">
        <f>IF(ISNA(VLOOKUP(F573,NXT!$C$18:$C$347,1,0)),x,"")</f>
        <v/>
      </c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26"/>
        <v>6</v>
      </c>
      <c r="C574" s="37">
        <v>41086</v>
      </c>
      <c r="D574" s="195" t="s">
        <v>1123</v>
      </c>
      <c r="E574" s="205">
        <v>41086</v>
      </c>
      <c r="F574" s="206" t="s">
        <v>946</v>
      </c>
      <c r="G574" s="206" t="s">
        <v>942</v>
      </c>
      <c r="H574" s="7" t="s">
        <v>487</v>
      </c>
      <c r="I574" s="277">
        <v>100</v>
      </c>
      <c r="J574" s="277">
        <v>14403</v>
      </c>
      <c r="K574" s="38">
        <v>1440300</v>
      </c>
      <c r="L574" s="208" t="s">
        <v>186</v>
      </c>
      <c r="M574" s="699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>x</v>
      </c>
      <c r="AC574" s="226" t="str">
        <f>IF(ISNA(VLOOKUP(F574,NXT!$C$18:$C$347,1,0)),x,"")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26"/>
        <v>6</v>
      </c>
      <c r="C575" s="37">
        <v>41086</v>
      </c>
      <c r="D575" s="195" t="s">
        <v>1123</v>
      </c>
      <c r="E575" s="205">
        <v>41086</v>
      </c>
      <c r="F575" s="206" t="s">
        <v>947</v>
      </c>
      <c r="G575" s="206" t="s">
        <v>942</v>
      </c>
      <c r="H575" s="7" t="s">
        <v>487</v>
      </c>
      <c r="I575" s="277">
        <v>220</v>
      </c>
      <c r="J575" s="277">
        <v>16029</v>
      </c>
      <c r="K575" s="38">
        <v>3526380</v>
      </c>
      <c r="L575" s="208" t="s">
        <v>186</v>
      </c>
      <c r="M575" s="699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>x</v>
      </c>
      <c r="AC575" s="226" t="str">
        <f>IF(ISNA(VLOOKUP(F575,NXT!$C$18:$C$347,1,0)),x,"")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26"/>
        <v>6</v>
      </c>
      <c r="C576" s="37">
        <v>41086</v>
      </c>
      <c r="D576" s="195" t="s">
        <v>1123</v>
      </c>
      <c r="E576" s="205">
        <v>41086</v>
      </c>
      <c r="F576" s="40" t="s">
        <v>573</v>
      </c>
      <c r="G576" s="206" t="s">
        <v>942</v>
      </c>
      <c r="H576" s="7" t="s">
        <v>487</v>
      </c>
      <c r="I576" s="277"/>
      <c r="J576" s="277"/>
      <c r="K576" s="38">
        <v>4884702</v>
      </c>
      <c r="L576" s="208" t="s">
        <v>9</v>
      </c>
      <c r="M576" s="699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>x</v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26"/>
        <v>6</v>
      </c>
      <c r="C577" s="37">
        <v>41087</v>
      </c>
      <c r="D577" s="205" t="s">
        <v>404</v>
      </c>
      <c r="E577" s="37">
        <v>41087</v>
      </c>
      <c r="F577" s="40" t="s">
        <v>406</v>
      </c>
      <c r="G577" s="40" t="s">
        <v>401</v>
      </c>
      <c r="H577" s="207" t="s">
        <v>1139</v>
      </c>
      <c r="I577" s="277"/>
      <c r="J577" s="277"/>
      <c r="K577" s="38">
        <v>19893440</v>
      </c>
      <c r="L577" s="39" t="s">
        <v>24</v>
      </c>
      <c r="M577" s="39" t="s">
        <v>311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>x</v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>x</v>
      </c>
      <c r="AD577" s="689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26"/>
        <v>6</v>
      </c>
      <c r="C578" s="37">
        <v>41087</v>
      </c>
      <c r="D578" s="195" t="s">
        <v>1124</v>
      </c>
      <c r="E578" s="37">
        <v>41087</v>
      </c>
      <c r="F578" s="40" t="s">
        <v>948</v>
      </c>
      <c r="G578" s="40" t="s">
        <v>949</v>
      </c>
      <c r="H578" s="7" t="s">
        <v>487</v>
      </c>
      <c r="I578" s="277">
        <v>500</v>
      </c>
      <c r="J578" s="277">
        <v>11447</v>
      </c>
      <c r="K578" s="38">
        <v>5723500</v>
      </c>
      <c r="L578" s="39" t="s">
        <v>186</v>
      </c>
      <c r="M578" s="699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>x</v>
      </c>
      <c r="AC578" s="226" t="str">
        <f>IF(ISNA(VLOOKUP(F578,NXT!$C$18:$C$347,1,0)),x,"")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26"/>
        <v>6</v>
      </c>
      <c r="C579" s="37">
        <v>41087</v>
      </c>
      <c r="D579" s="195" t="s">
        <v>1124</v>
      </c>
      <c r="E579" s="37">
        <v>41087</v>
      </c>
      <c r="F579" s="206" t="s">
        <v>950</v>
      </c>
      <c r="G579" s="40" t="s">
        <v>949</v>
      </c>
      <c r="H579" s="7" t="s">
        <v>487</v>
      </c>
      <c r="I579" s="277">
        <v>500</v>
      </c>
      <c r="J579" s="277">
        <v>12903</v>
      </c>
      <c r="K579" s="38">
        <v>6451500</v>
      </c>
      <c r="L579" s="208" t="s">
        <v>186</v>
      </c>
      <c r="M579" s="699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>x</v>
      </c>
      <c r="AC579" s="226" t="str">
        <f>IF(ISNA(VLOOKUP(F579,NXT!$C$18:$C$347,1,0)),x,"")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26"/>
        <v>6</v>
      </c>
      <c r="C580" s="37">
        <v>41087</v>
      </c>
      <c r="D580" s="195" t="s">
        <v>1124</v>
      </c>
      <c r="E580" s="37">
        <v>41087</v>
      </c>
      <c r="F580" s="40" t="s">
        <v>573</v>
      </c>
      <c r="G580" s="580" t="s">
        <v>949</v>
      </c>
      <c r="H580" s="7" t="s">
        <v>487</v>
      </c>
      <c r="I580" s="277"/>
      <c r="J580" s="277"/>
      <c r="K580" s="38">
        <v>1217500</v>
      </c>
      <c r="L580" s="39" t="s">
        <v>9</v>
      </c>
      <c r="M580" s="699" t="s">
        <v>8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>x</v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26"/>
        <v>6</v>
      </c>
      <c r="C581" s="37">
        <v>41090</v>
      </c>
      <c r="D581" s="205" t="s">
        <v>404</v>
      </c>
      <c r="E581" s="205">
        <v>41090</v>
      </c>
      <c r="F581" s="40" t="s">
        <v>406</v>
      </c>
      <c r="G581" s="581" t="s">
        <v>401</v>
      </c>
      <c r="H581" s="207" t="s">
        <v>1139</v>
      </c>
      <c r="I581" s="277"/>
      <c r="J581" s="277"/>
      <c r="K581" s="38">
        <v>13431000</v>
      </c>
      <c r="L581" s="208" t="s">
        <v>24</v>
      </c>
      <c r="M581" s="208" t="s">
        <v>311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>x</v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>x</v>
      </c>
      <c r="AD581" s="689"/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26"/>
        <v>6</v>
      </c>
      <c r="C582" s="37">
        <v>41090</v>
      </c>
      <c r="D582" s="205" t="s">
        <v>496</v>
      </c>
      <c r="E582" s="205">
        <v>41090</v>
      </c>
      <c r="F582" s="206" t="s">
        <v>451</v>
      </c>
      <c r="G582" s="581" t="s">
        <v>401</v>
      </c>
      <c r="H582" s="207" t="s">
        <v>706</v>
      </c>
      <c r="I582" s="277"/>
      <c r="J582" s="277"/>
      <c r="K582" s="38">
        <v>9000000</v>
      </c>
      <c r="L582" s="208" t="s">
        <v>24</v>
      </c>
      <c r="M582" s="208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>x</v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>x</v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26"/>
        <v>6</v>
      </c>
      <c r="C583" s="37">
        <v>41090</v>
      </c>
      <c r="D583" s="195" t="s">
        <v>1125</v>
      </c>
      <c r="E583" s="205">
        <v>41090</v>
      </c>
      <c r="F583" s="206" t="s">
        <v>951</v>
      </c>
      <c r="G583" s="581" t="s">
        <v>952</v>
      </c>
      <c r="H583" s="7" t="s">
        <v>487</v>
      </c>
      <c r="I583" s="277">
        <v>200</v>
      </c>
      <c r="J583" s="277">
        <v>8165</v>
      </c>
      <c r="K583" s="38">
        <v>1633000</v>
      </c>
      <c r="L583" s="208" t="s">
        <v>186</v>
      </c>
      <c r="M583" s="699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>x</v>
      </c>
      <c r="AC583" s="226" t="str">
        <f>IF(ISNA(VLOOKUP(F583,NXT!$C$18:$C$347,1,0)),x,"")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26"/>
        <v>6</v>
      </c>
      <c r="C584" s="37">
        <v>41090</v>
      </c>
      <c r="D584" s="195" t="s">
        <v>1125</v>
      </c>
      <c r="E584" s="205">
        <v>41090</v>
      </c>
      <c r="F584" s="206" t="s">
        <v>844</v>
      </c>
      <c r="G584" s="581" t="s">
        <v>952</v>
      </c>
      <c r="H584" s="7" t="s">
        <v>487</v>
      </c>
      <c r="I584" s="277">
        <v>250</v>
      </c>
      <c r="J584" s="277">
        <v>10653</v>
      </c>
      <c r="K584" s="38">
        <v>2663250</v>
      </c>
      <c r="L584" s="208" t="s">
        <v>186</v>
      </c>
      <c r="M584" s="699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>x</v>
      </c>
      <c r="AC584" s="226" t="str">
        <f>IF(ISNA(VLOOKUP(F584,NXT!$C$18:$C$347,1,0)),x,"")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26"/>
        <v>6</v>
      </c>
      <c r="C585" s="37">
        <v>41090</v>
      </c>
      <c r="D585" s="195" t="s">
        <v>1125</v>
      </c>
      <c r="E585" s="205">
        <v>41090</v>
      </c>
      <c r="F585" s="206" t="s">
        <v>953</v>
      </c>
      <c r="G585" s="581" t="s">
        <v>952</v>
      </c>
      <c r="H585" s="7" t="s">
        <v>487</v>
      </c>
      <c r="I585" s="277">
        <v>350</v>
      </c>
      <c r="J585" s="277">
        <v>16128</v>
      </c>
      <c r="K585" s="38">
        <v>5644800</v>
      </c>
      <c r="L585" s="208" t="s">
        <v>186</v>
      </c>
      <c r="M585" s="699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>x</v>
      </c>
      <c r="AC585" s="226" t="str">
        <f>IF(ISNA(VLOOKUP(F585,NXT!$C$18:$C$347,1,0)),x,"")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26"/>
        <v>6</v>
      </c>
      <c r="C586" s="37">
        <v>41090</v>
      </c>
      <c r="D586" s="195" t="s">
        <v>1125</v>
      </c>
      <c r="E586" s="205">
        <v>41090</v>
      </c>
      <c r="F586" s="206" t="s">
        <v>784</v>
      </c>
      <c r="G586" s="581" t="s">
        <v>952</v>
      </c>
      <c r="H586" s="7" t="s">
        <v>487</v>
      </c>
      <c r="I586" s="277">
        <v>250</v>
      </c>
      <c r="J586" s="277">
        <v>17722</v>
      </c>
      <c r="K586" s="38">
        <v>4430500</v>
      </c>
      <c r="L586" s="208" t="s">
        <v>186</v>
      </c>
      <c r="M586" s="699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>x</v>
      </c>
      <c r="AC586" s="226" t="str">
        <f>IF(ISNA(VLOOKUP(F586,NXT!$C$18:$C$347,1,0)),x,"")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26"/>
        <v>6</v>
      </c>
      <c r="C587" s="37">
        <v>41090</v>
      </c>
      <c r="D587" s="195" t="s">
        <v>1125</v>
      </c>
      <c r="E587" s="205">
        <v>41090</v>
      </c>
      <c r="F587" s="206" t="s">
        <v>954</v>
      </c>
      <c r="G587" s="581" t="s">
        <v>952</v>
      </c>
      <c r="H587" s="7" t="s">
        <v>487</v>
      </c>
      <c r="I587" s="277">
        <v>170</v>
      </c>
      <c r="J587" s="277">
        <v>14221</v>
      </c>
      <c r="K587" s="38">
        <v>2417570</v>
      </c>
      <c r="L587" s="208" t="s">
        <v>186</v>
      </c>
      <c r="M587" s="699" t="s">
        <v>8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>x</v>
      </c>
      <c r="AC587" s="226" t="str">
        <f>IF(ISNA(VLOOKUP(F587,NXT!$C$18:$C$347,1,0)),x,"")</f>
        <v/>
      </c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26"/>
        <v>6</v>
      </c>
      <c r="C588" s="37">
        <v>41090</v>
      </c>
      <c r="D588" s="195" t="s">
        <v>1125</v>
      </c>
      <c r="E588" s="205">
        <v>41090</v>
      </c>
      <c r="F588" s="206" t="s">
        <v>573</v>
      </c>
      <c r="G588" s="581" t="s">
        <v>952</v>
      </c>
      <c r="H588" s="7" t="s">
        <v>487</v>
      </c>
      <c r="I588" s="277"/>
      <c r="J588" s="277"/>
      <c r="K588" s="38">
        <v>1678912</v>
      </c>
      <c r="L588" s="208" t="s">
        <v>9</v>
      </c>
      <c r="M588" s="699" t="s">
        <v>8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>x</v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26"/>
        <v>7</v>
      </c>
      <c r="C589" s="37">
        <v>41092</v>
      </c>
      <c r="D589" s="205" t="s">
        <v>405</v>
      </c>
      <c r="E589" s="205">
        <v>41092</v>
      </c>
      <c r="F589" s="206" t="s">
        <v>455</v>
      </c>
      <c r="G589" s="581" t="s">
        <v>401</v>
      </c>
      <c r="H589" s="207"/>
      <c r="I589" s="277"/>
      <c r="J589" s="277"/>
      <c r="K589" s="38">
        <v>9592000</v>
      </c>
      <c r="L589" s="208" t="s">
        <v>8</v>
      </c>
      <c r="M589" s="208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26"/>
        <v>7</v>
      </c>
      <c r="C590" s="37">
        <v>41092</v>
      </c>
      <c r="D590" s="205" t="s">
        <v>405</v>
      </c>
      <c r="E590" s="205">
        <v>41092</v>
      </c>
      <c r="F590" s="206" t="s">
        <v>455</v>
      </c>
      <c r="G590" s="581" t="s">
        <v>401</v>
      </c>
      <c r="H590" s="207"/>
      <c r="I590" s="277"/>
      <c r="J590" s="277"/>
      <c r="K590" s="38">
        <v>75924100</v>
      </c>
      <c r="L590" s="208" t="s">
        <v>8</v>
      </c>
      <c r="M590" s="208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26"/>
        <v>7</v>
      </c>
      <c r="C591" s="37">
        <v>41092</v>
      </c>
      <c r="D591" s="205" t="s">
        <v>405</v>
      </c>
      <c r="E591" s="205">
        <v>41092</v>
      </c>
      <c r="F591" s="206" t="s">
        <v>407</v>
      </c>
      <c r="G591" s="581" t="s">
        <v>401</v>
      </c>
      <c r="H591" s="207"/>
      <c r="I591" s="277"/>
      <c r="J591" s="277"/>
      <c r="K591" s="38">
        <v>37962</v>
      </c>
      <c r="L591" s="208" t="s">
        <v>87</v>
      </c>
      <c r="M591" s="208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26"/>
        <v>7</v>
      </c>
      <c r="C592" s="37">
        <v>41092</v>
      </c>
      <c r="D592" s="205" t="s">
        <v>405</v>
      </c>
      <c r="E592" s="205">
        <v>41092</v>
      </c>
      <c r="F592" s="206" t="s">
        <v>865</v>
      </c>
      <c r="G592" s="581" t="s">
        <v>401</v>
      </c>
      <c r="H592" s="207"/>
      <c r="I592" s="277"/>
      <c r="J592" s="277"/>
      <c r="K592" s="38">
        <v>10000</v>
      </c>
      <c r="L592" s="208" t="s">
        <v>87</v>
      </c>
      <c r="M592" s="208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30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26"/>
        <v>7</v>
      </c>
      <c r="C593" s="37">
        <v>41092</v>
      </c>
      <c r="D593" s="205" t="s">
        <v>513</v>
      </c>
      <c r="E593" s="37">
        <v>41092</v>
      </c>
      <c r="F593" s="40" t="s">
        <v>568</v>
      </c>
      <c r="G593" s="581" t="s">
        <v>955</v>
      </c>
      <c r="H593" s="7" t="s">
        <v>487</v>
      </c>
      <c r="I593" s="277">
        <v>150</v>
      </c>
      <c r="J593" s="277">
        <v>11227</v>
      </c>
      <c r="K593" s="38">
        <v>1684050</v>
      </c>
      <c r="L593" s="39" t="s">
        <v>186</v>
      </c>
      <c r="M593" s="699" t="s">
        <v>8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  <c r="AC593" s="226" t="str">
        <f>IF(ISNA(VLOOKUP(F593,NXT!$C$18:$C$347,1,0)),x,"")</f>
        <v/>
      </c>
    </row>
    <row r="594" spans="1:30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ref="B594:B599" si="27">IF(C594&lt;&gt;"",MONTH(C594),"")</f>
        <v>7</v>
      </c>
      <c r="C594" s="37">
        <v>41092</v>
      </c>
      <c r="D594" s="205" t="s">
        <v>513</v>
      </c>
      <c r="E594" s="37">
        <v>41092</v>
      </c>
      <c r="F594" s="40" t="s">
        <v>956</v>
      </c>
      <c r="G594" s="581" t="s">
        <v>955</v>
      </c>
      <c r="H594" s="7" t="s">
        <v>487</v>
      </c>
      <c r="I594" s="277">
        <v>500</v>
      </c>
      <c r="J594" s="277">
        <v>9377</v>
      </c>
      <c r="K594" s="38">
        <v>4688500</v>
      </c>
      <c r="L594" s="39" t="s">
        <v>186</v>
      </c>
      <c r="M594" s="699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30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27"/>
        <v>7</v>
      </c>
      <c r="C595" s="37">
        <v>41092</v>
      </c>
      <c r="D595" s="205" t="s">
        <v>513</v>
      </c>
      <c r="E595" s="37">
        <v>41092</v>
      </c>
      <c r="F595" s="40" t="s">
        <v>957</v>
      </c>
      <c r="G595" s="581" t="s">
        <v>955</v>
      </c>
      <c r="H595" s="7" t="s">
        <v>487</v>
      </c>
      <c r="I595" s="277">
        <v>110</v>
      </c>
      <c r="J595" s="277">
        <v>13590</v>
      </c>
      <c r="K595" s="38">
        <v>1494900</v>
      </c>
      <c r="L595" s="39" t="s">
        <v>186</v>
      </c>
      <c r="M595" s="699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  <c r="AC595" s="226" t="str">
        <f>IF(ISNA(VLOOKUP(F595,NXT!$C$18:$C$347,1,0)),x,"")</f>
        <v/>
      </c>
    </row>
    <row r="596" spans="1:30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27"/>
        <v>7</v>
      </c>
      <c r="C596" s="37">
        <v>41092</v>
      </c>
      <c r="D596" s="205" t="s">
        <v>513</v>
      </c>
      <c r="E596" s="37">
        <v>41092</v>
      </c>
      <c r="F596" s="40" t="s">
        <v>958</v>
      </c>
      <c r="G596" s="581" t="s">
        <v>955</v>
      </c>
      <c r="H596" s="7" t="s">
        <v>487</v>
      </c>
      <c r="I596" s="277">
        <v>150</v>
      </c>
      <c r="J596" s="277">
        <v>20776</v>
      </c>
      <c r="K596" s="38">
        <v>3116400</v>
      </c>
      <c r="L596" s="39" t="s">
        <v>186</v>
      </c>
      <c r="M596" s="699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30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27"/>
        <v>7</v>
      </c>
      <c r="C597" s="37">
        <v>41092</v>
      </c>
      <c r="D597" s="205" t="s">
        <v>513</v>
      </c>
      <c r="E597" s="37">
        <v>41092</v>
      </c>
      <c r="F597" s="40" t="s">
        <v>852</v>
      </c>
      <c r="G597" s="581" t="s">
        <v>955</v>
      </c>
      <c r="H597" s="7" t="s">
        <v>487</v>
      </c>
      <c r="I597" s="277">
        <v>205</v>
      </c>
      <c r="J597" s="277">
        <v>21119</v>
      </c>
      <c r="K597" s="38">
        <v>4329395</v>
      </c>
      <c r="L597" s="39" t="s">
        <v>186</v>
      </c>
      <c r="M597" s="699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30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27"/>
        <v>7</v>
      </c>
      <c r="C598" s="37">
        <v>41092</v>
      </c>
      <c r="D598" s="205" t="s">
        <v>513</v>
      </c>
      <c r="E598" s="37">
        <v>41092</v>
      </c>
      <c r="F598" s="40" t="s">
        <v>573</v>
      </c>
      <c r="G598" s="581" t="s">
        <v>955</v>
      </c>
      <c r="H598" s="7" t="s">
        <v>487</v>
      </c>
      <c r="I598" s="277"/>
      <c r="J598" s="277"/>
      <c r="K598" s="38">
        <v>1531325</v>
      </c>
      <c r="L598" s="39" t="s">
        <v>9</v>
      </c>
      <c r="M598" s="699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30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27"/>
        <v>7</v>
      </c>
      <c r="C599" s="37">
        <v>41093</v>
      </c>
      <c r="D599" s="205" t="s">
        <v>465</v>
      </c>
      <c r="E599" s="37">
        <v>41093</v>
      </c>
      <c r="F599" s="40" t="s">
        <v>727</v>
      </c>
      <c r="G599" s="581" t="s">
        <v>959</v>
      </c>
      <c r="H599" s="45" t="s">
        <v>456</v>
      </c>
      <c r="I599" s="277"/>
      <c r="J599" s="277"/>
      <c r="K599" s="38">
        <v>2600000</v>
      </c>
      <c r="L599" s="39" t="s">
        <v>194</v>
      </c>
      <c r="M599" s="39" t="s">
        <v>49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>x</v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30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26"/>
        <v>7</v>
      </c>
      <c r="C600" s="37">
        <v>41093</v>
      </c>
      <c r="D600" s="205" t="s">
        <v>465</v>
      </c>
      <c r="E600" s="37">
        <v>41093</v>
      </c>
      <c r="F600" s="40" t="s">
        <v>413</v>
      </c>
      <c r="G600" s="581" t="s">
        <v>959</v>
      </c>
      <c r="H600" s="45" t="s">
        <v>456</v>
      </c>
      <c r="I600" s="277"/>
      <c r="J600" s="277"/>
      <c r="K600" s="38">
        <v>260000</v>
      </c>
      <c r="L600" s="39" t="s">
        <v>9</v>
      </c>
      <c r="M600" s="39" t="s">
        <v>49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>x</v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30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26"/>
        <v>7</v>
      </c>
      <c r="C601" s="37">
        <v>41093</v>
      </c>
      <c r="D601" s="205" t="s">
        <v>514</v>
      </c>
      <c r="E601" s="205">
        <v>41093</v>
      </c>
      <c r="F601" s="206" t="s">
        <v>960</v>
      </c>
      <c r="G601" s="206" t="s">
        <v>961</v>
      </c>
      <c r="H601" s="7" t="s">
        <v>487</v>
      </c>
      <c r="I601" s="277">
        <v>350</v>
      </c>
      <c r="J601" s="277">
        <v>14456</v>
      </c>
      <c r="K601" s="38">
        <v>5059600</v>
      </c>
      <c r="L601" s="208" t="s">
        <v>186</v>
      </c>
      <c r="M601" s="699" t="s">
        <v>8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  <c r="AC601" s="226" t="str">
        <f>IF(ISNA(VLOOKUP(F601,NXT!$C$18:$C$347,1,0)),x,"")</f>
        <v/>
      </c>
    </row>
    <row r="602" spans="1:30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26"/>
        <v>7</v>
      </c>
      <c r="C602" s="37">
        <v>41093</v>
      </c>
      <c r="D602" s="205" t="s">
        <v>514</v>
      </c>
      <c r="E602" s="205">
        <v>41093</v>
      </c>
      <c r="F602" s="40" t="s">
        <v>962</v>
      </c>
      <c r="G602" s="40" t="s">
        <v>961</v>
      </c>
      <c r="H602" s="7" t="s">
        <v>487</v>
      </c>
      <c r="I602" s="277">
        <v>250</v>
      </c>
      <c r="J602" s="277">
        <v>13999</v>
      </c>
      <c r="K602" s="38">
        <v>3499750</v>
      </c>
      <c r="L602" s="39" t="s">
        <v>186</v>
      </c>
      <c r="M602" s="699" t="s">
        <v>8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  <c r="AC602" s="226" t="str">
        <f>IF(ISNA(VLOOKUP(F602,NXT!$C$18:$C$347,1,0)),x,"")</f>
        <v/>
      </c>
    </row>
    <row r="603" spans="1:30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si="26"/>
        <v>7</v>
      </c>
      <c r="C603" s="37">
        <v>41093</v>
      </c>
      <c r="D603" s="205" t="s">
        <v>514</v>
      </c>
      <c r="E603" s="205">
        <v>41093</v>
      </c>
      <c r="F603" s="40" t="s">
        <v>963</v>
      </c>
      <c r="G603" s="581" t="s">
        <v>961</v>
      </c>
      <c r="H603" s="7" t="s">
        <v>487</v>
      </c>
      <c r="I603" s="277">
        <v>250</v>
      </c>
      <c r="J603" s="277">
        <v>13619</v>
      </c>
      <c r="K603" s="38">
        <v>3404750</v>
      </c>
      <c r="L603" s="208" t="s">
        <v>186</v>
      </c>
      <c r="M603" s="699" t="s">
        <v>8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  <c r="AC603" s="226" t="str">
        <f>IF(ISNA(VLOOKUP(F603,NXT!$C$18:$C$347,1,0)),x,"")</f>
        <v/>
      </c>
    </row>
    <row r="604" spans="1:30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26"/>
        <v>7</v>
      </c>
      <c r="C604" s="37">
        <v>41093</v>
      </c>
      <c r="D604" s="205" t="s">
        <v>514</v>
      </c>
      <c r="E604" s="205">
        <v>41093</v>
      </c>
      <c r="F604" s="40" t="s">
        <v>573</v>
      </c>
      <c r="G604" s="581" t="s">
        <v>961</v>
      </c>
      <c r="H604" s="7" t="s">
        <v>487</v>
      </c>
      <c r="I604" s="277"/>
      <c r="J604" s="277"/>
      <c r="K604" s="38">
        <v>1196410</v>
      </c>
      <c r="L604" s="208" t="s">
        <v>9</v>
      </c>
      <c r="M604" s="699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30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26"/>
        <v>7</v>
      </c>
      <c r="C605" s="37">
        <v>41095</v>
      </c>
      <c r="D605" s="205" t="s">
        <v>404</v>
      </c>
      <c r="E605" s="205">
        <v>41095</v>
      </c>
      <c r="F605" s="40" t="s">
        <v>406</v>
      </c>
      <c r="G605" s="581" t="s">
        <v>401</v>
      </c>
      <c r="H605" s="7" t="s">
        <v>1133</v>
      </c>
      <c r="I605" s="277"/>
      <c r="J605" s="277"/>
      <c r="K605" s="38">
        <v>5000000</v>
      </c>
      <c r="L605" s="208" t="s">
        <v>24</v>
      </c>
      <c r="M605" s="39" t="s">
        <v>311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>x</v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D605" s="689"/>
    </row>
    <row r="606" spans="1:30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26"/>
        <v>7</v>
      </c>
      <c r="C606" s="37">
        <v>41095</v>
      </c>
      <c r="D606" s="205" t="s">
        <v>515</v>
      </c>
      <c r="E606" s="205">
        <v>41095</v>
      </c>
      <c r="F606" s="40" t="s">
        <v>964</v>
      </c>
      <c r="G606" s="581" t="s">
        <v>965</v>
      </c>
      <c r="H606" s="7" t="s">
        <v>487</v>
      </c>
      <c r="I606" s="277">
        <v>340</v>
      </c>
      <c r="J606" s="277">
        <v>13507</v>
      </c>
      <c r="K606" s="38">
        <v>4592380</v>
      </c>
      <c r="L606" s="208" t="s">
        <v>186</v>
      </c>
      <c r="M606" s="699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  <c r="AC606" s="226" t="str">
        <f>IF(ISNA(VLOOKUP(F606,NXT!$C$18:$C$347,1,0)),x,"")</f>
        <v/>
      </c>
    </row>
    <row r="607" spans="1:30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26"/>
        <v>7</v>
      </c>
      <c r="C607" s="37">
        <v>41095</v>
      </c>
      <c r="D607" s="205" t="s">
        <v>515</v>
      </c>
      <c r="E607" s="205">
        <v>41095</v>
      </c>
      <c r="F607" s="40" t="s">
        <v>780</v>
      </c>
      <c r="G607" s="581" t="s">
        <v>965</v>
      </c>
      <c r="H607" s="7" t="s">
        <v>487</v>
      </c>
      <c r="I607" s="277">
        <v>510</v>
      </c>
      <c r="J607" s="277">
        <v>23149</v>
      </c>
      <c r="K607" s="38">
        <v>11805990</v>
      </c>
      <c r="L607" s="208" t="s">
        <v>186</v>
      </c>
      <c r="M607" s="699" t="s">
        <v>8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  <c r="AC607" s="226" t="str">
        <f>IF(ISNA(VLOOKUP(F607,NXT!$C$18:$C$347,1,0)),x,"")</f>
        <v/>
      </c>
    </row>
    <row r="608" spans="1:30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26"/>
        <v>7</v>
      </c>
      <c r="C608" s="37">
        <v>41095</v>
      </c>
      <c r="D608" s="205" t="s">
        <v>515</v>
      </c>
      <c r="E608" s="205">
        <v>41095</v>
      </c>
      <c r="F608" s="40" t="s">
        <v>573</v>
      </c>
      <c r="G608" s="581" t="s">
        <v>965</v>
      </c>
      <c r="H608" s="7" t="s">
        <v>487</v>
      </c>
      <c r="I608" s="277"/>
      <c r="J608" s="277"/>
      <c r="K608" s="38">
        <v>1639837</v>
      </c>
      <c r="L608" s="208" t="s">
        <v>9</v>
      </c>
      <c r="M608" s="699" t="s">
        <v>8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30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26"/>
        <v>7</v>
      </c>
      <c r="C609" s="37">
        <v>41099</v>
      </c>
      <c r="D609" s="205" t="s">
        <v>404</v>
      </c>
      <c r="E609" s="205">
        <v>41099</v>
      </c>
      <c r="F609" s="206" t="s">
        <v>406</v>
      </c>
      <c r="G609" s="581" t="s">
        <v>401</v>
      </c>
      <c r="H609" s="7" t="s">
        <v>1553</v>
      </c>
      <c r="I609" s="277"/>
      <c r="J609" s="277"/>
      <c r="K609" s="38">
        <v>100000000</v>
      </c>
      <c r="L609" s="208" t="s">
        <v>24</v>
      </c>
      <c r="M609" s="39" t="s">
        <v>311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  <c r="AD609" s="689"/>
    </row>
    <row r="610" spans="1:30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26"/>
        <v>7</v>
      </c>
      <c r="C610" s="37">
        <v>41099</v>
      </c>
      <c r="D610" s="205" t="s">
        <v>510</v>
      </c>
      <c r="E610" s="37">
        <v>41099</v>
      </c>
      <c r="F610" s="40" t="s">
        <v>458</v>
      </c>
      <c r="G610" s="581" t="s">
        <v>966</v>
      </c>
      <c r="H610" s="45" t="s">
        <v>460</v>
      </c>
      <c r="I610" s="277">
        <v>100</v>
      </c>
      <c r="J610" s="277">
        <v>25000</v>
      </c>
      <c r="K610" s="38">
        <v>2500000</v>
      </c>
      <c r="L610" s="39" t="s">
        <v>188</v>
      </c>
      <c r="M610" s="699" t="s">
        <v>8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>x</v>
      </c>
      <c r="Z610" s="55" t="str">
        <f>IF(AND(OR(LEFT(TH!L610,2)="15",LEFT(TH!M610,2)="15"),TK!$E$7=TH!F610),"x","")</f>
        <v>x</v>
      </c>
      <c r="AA610" s="55" t="str">
        <f>IF(AND(B610&lt;=NKC!$N$8,B610&gt;=NKC!$M$8),"x","")</f>
        <v/>
      </c>
    </row>
    <row r="611" spans="1:30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26"/>
        <v>7</v>
      </c>
      <c r="C611" s="37">
        <v>41099</v>
      </c>
      <c r="D611" s="205" t="s">
        <v>510</v>
      </c>
      <c r="E611" s="37">
        <v>41099</v>
      </c>
      <c r="F611" s="40" t="s">
        <v>459</v>
      </c>
      <c r="G611" s="581" t="s">
        <v>966</v>
      </c>
      <c r="H611" s="45" t="s">
        <v>460</v>
      </c>
      <c r="I611" s="277"/>
      <c r="J611" s="277"/>
      <c r="K611" s="38">
        <v>250000</v>
      </c>
      <c r="L611" s="39" t="s">
        <v>9</v>
      </c>
      <c r="M611" s="699" t="s">
        <v>8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30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26"/>
        <v>7</v>
      </c>
      <c r="C612" s="37">
        <v>41099</v>
      </c>
      <c r="D612" s="205" t="s">
        <v>466</v>
      </c>
      <c r="E612" s="37">
        <v>41099</v>
      </c>
      <c r="F612" s="40" t="s">
        <v>455</v>
      </c>
      <c r="G612" s="40" t="s">
        <v>966</v>
      </c>
      <c r="H612" s="225" t="s">
        <v>460</v>
      </c>
      <c r="I612" s="277"/>
      <c r="J612" s="277"/>
      <c r="K612" s="38">
        <v>2750000</v>
      </c>
      <c r="L612" s="39" t="s">
        <v>8</v>
      </c>
      <c r="M612" s="39" t="s">
        <v>49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>x</v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30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26"/>
        <v>7</v>
      </c>
      <c r="C613" s="37">
        <v>41099</v>
      </c>
      <c r="D613" s="205" t="s">
        <v>467</v>
      </c>
      <c r="E613" s="37">
        <v>41099</v>
      </c>
      <c r="F613" s="40" t="s">
        <v>967</v>
      </c>
      <c r="G613" s="40" t="s">
        <v>968</v>
      </c>
      <c r="H613" s="45" t="s">
        <v>456</v>
      </c>
      <c r="I613" s="277"/>
      <c r="J613" s="277"/>
      <c r="K613" s="38">
        <v>2560000</v>
      </c>
      <c r="L613" s="39" t="s">
        <v>194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30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26"/>
        <v>7</v>
      </c>
      <c r="C614" s="37">
        <v>41099</v>
      </c>
      <c r="D614" s="205" t="s">
        <v>467</v>
      </c>
      <c r="E614" s="37">
        <v>41099</v>
      </c>
      <c r="F614" s="40" t="s">
        <v>413</v>
      </c>
      <c r="G614" s="40" t="s">
        <v>968</v>
      </c>
      <c r="H614" s="45" t="s">
        <v>456</v>
      </c>
      <c r="I614" s="277"/>
      <c r="J614" s="277"/>
      <c r="K614" s="38">
        <v>256000</v>
      </c>
      <c r="L614" s="39" t="s">
        <v>9</v>
      </c>
      <c r="M614" s="39" t="s">
        <v>49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>x</v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30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26"/>
        <v>7</v>
      </c>
      <c r="C615" s="37">
        <v>41099</v>
      </c>
      <c r="D615" s="205" t="s">
        <v>516</v>
      </c>
      <c r="E615" s="37">
        <v>41099</v>
      </c>
      <c r="F615" s="40" t="s">
        <v>826</v>
      </c>
      <c r="G615" s="40" t="s">
        <v>969</v>
      </c>
      <c r="H615" s="7" t="s">
        <v>487</v>
      </c>
      <c r="I615" s="277">
        <v>1000</v>
      </c>
      <c r="J615" s="277">
        <v>22301</v>
      </c>
      <c r="K615" s="38">
        <v>22301000</v>
      </c>
      <c r="L615" s="39" t="s">
        <v>186</v>
      </c>
      <c r="M615" s="699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30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26"/>
        <v>7</v>
      </c>
      <c r="C616" s="37">
        <v>41099</v>
      </c>
      <c r="D616" s="205" t="s">
        <v>516</v>
      </c>
      <c r="E616" s="37">
        <v>41099</v>
      </c>
      <c r="F616" s="40" t="s">
        <v>970</v>
      </c>
      <c r="G616" s="40" t="s">
        <v>969</v>
      </c>
      <c r="H616" s="7" t="s">
        <v>487</v>
      </c>
      <c r="I616" s="277">
        <v>270</v>
      </c>
      <c r="J616" s="277">
        <v>13971</v>
      </c>
      <c r="K616" s="38">
        <v>3772170</v>
      </c>
      <c r="L616" s="39" t="s">
        <v>186</v>
      </c>
      <c r="M616" s="699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  <c r="AC616" s="226" t="str">
        <f>IF(ISNA(VLOOKUP(F616,NXT!$C$18:$C$347,1,0)),x,"")</f>
        <v/>
      </c>
    </row>
    <row r="617" spans="1:30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26"/>
        <v>7</v>
      </c>
      <c r="C617" s="37">
        <v>41099</v>
      </c>
      <c r="D617" s="205" t="s">
        <v>516</v>
      </c>
      <c r="E617" s="37">
        <v>41099</v>
      </c>
      <c r="F617" s="40" t="s">
        <v>971</v>
      </c>
      <c r="G617" s="40" t="s">
        <v>969</v>
      </c>
      <c r="H617" s="7" t="s">
        <v>487</v>
      </c>
      <c r="I617" s="277">
        <v>100</v>
      </c>
      <c r="J617" s="277">
        <v>8989</v>
      </c>
      <c r="K617" s="38">
        <v>898900</v>
      </c>
      <c r="L617" s="39" t="s">
        <v>186</v>
      </c>
      <c r="M617" s="699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30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26"/>
        <v>7</v>
      </c>
      <c r="C618" s="37">
        <v>41099</v>
      </c>
      <c r="D618" s="205" t="s">
        <v>516</v>
      </c>
      <c r="E618" s="37">
        <v>41099</v>
      </c>
      <c r="F618" s="40" t="s">
        <v>573</v>
      </c>
      <c r="G618" s="40" t="s">
        <v>969</v>
      </c>
      <c r="H618" s="7" t="s">
        <v>487</v>
      </c>
      <c r="I618" s="277"/>
      <c r="J618" s="277"/>
      <c r="K618" s="38">
        <v>2697207</v>
      </c>
      <c r="L618" s="39" t="s">
        <v>9</v>
      </c>
      <c r="M618" s="699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30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26"/>
        <v>7</v>
      </c>
      <c r="C619" s="37">
        <v>41100</v>
      </c>
      <c r="D619" s="205" t="s">
        <v>404</v>
      </c>
      <c r="E619" s="37">
        <v>41100</v>
      </c>
      <c r="F619" s="40" t="s">
        <v>406</v>
      </c>
      <c r="G619" s="40" t="s">
        <v>401</v>
      </c>
      <c r="H619" s="207" t="s">
        <v>1346</v>
      </c>
      <c r="I619" s="277"/>
      <c r="J619" s="277"/>
      <c r="K619" s="38">
        <v>36590400</v>
      </c>
      <c r="L619" s="39" t="s">
        <v>24</v>
      </c>
      <c r="M619" s="39" t="s">
        <v>311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  <c r="AD619" s="689"/>
    </row>
    <row r="620" spans="1:30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26"/>
        <v>7</v>
      </c>
      <c r="C620" s="37">
        <v>41100</v>
      </c>
      <c r="D620" s="205" t="s">
        <v>405</v>
      </c>
      <c r="E620" s="37">
        <v>41100</v>
      </c>
      <c r="F620" s="40" t="s">
        <v>455</v>
      </c>
      <c r="G620" s="40" t="s">
        <v>401</v>
      </c>
      <c r="H620" s="45"/>
      <c r="I620" s="277"/>
      <c r="J620" s="277"/>
      <c r="K620" s="38">
        <v>17000000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30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26"/>
        <v>7</v>
      </c>
      <c r="C621" s="37">
        <v>41100</v>
      </c>
      <c r="D621" s="205" t="s">
        <v>405</v>
      </c>
      <c r="E621" s="37">
        <v>41100</v>
      </c>
      <c r="F621" s="40" t="s">
        <v>455</v>
      </c>
      <c r="G621" s="40" t="s">
        <v>401</v>
      </c>
      <c r="H621" s="225"/>
      <c r="I621" s="277"/>
      <c r="J621" s="277"/>
      <c r="K621" s="38">
        <v>7000000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30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26"/>
        <v>7</v>
      </c>
      <c r="C622" s="37">
        <v>41100</v>
      </c>
      <c r="D622" s="205" t="s">
        <v>405</v>
      </c>
      <c r="E622" s="37">
        <v>41100</v>
      </c>
      <c r="F622" s="40" t="s">
        <v>455</v>
      </c>
      <c r="G622" s="40" t="s">
        <v>401</v>
      </c>
      <c r="H622" s="45"/>
      <c r="I622" s="277"/>
      <c r="J622" s="277"/>
      <c r="K622" s="38">
        <v>85000000</v>
      </c>
      <c r="L622" s="39" t="s">
        <v>8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30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26"/>
        <v>7</v>
      </c>
      <c r="C623" s="37">
        <v>41100</v>
      </c>
      <c r="D623" s="205" t="s">
        <v>405</v>
      </c>
      <c r="E623" s="37">
        <v>41100</v>
      </c>
      <c r="F623" s="40" t="s">
        <v>407</v>
      </c>
      <c r="G623" s="40" t="s">
        <v>401</v>
      </c>
      <c r="H623" s="45"/>
      <c r="I623" s="277"/>
      <c r="J623" s="277"/>
      <c r="K623" s="38">
        <v>42500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30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26"/>
        <v>7</v>
      </c>
      <c r="C624" s="37">
        <v>41100</v>
      </c>
      <c r="D624" s="205" t="s">
        <v>405</v>
      </c>
      <c r="E624" s="37">
        <v>41100</v>
      </c>
      <c r="F624" s="40" t="s">
        <v>407</v>
      </c>
      <c r="G624" s="40" t="s">
        <v>401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29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26"/>
        <v>7</v>
      </c>
      <c r="C625" s="37">
        <v>41100</v>
      </c>
      <c r="D625" s="205" t="s">
        <v>405</v>
      </c>
      <c r="E625" s="37">
        <v>41100</v>
      </c>
      <c r="F625" s="40" t="s">
        <v>407</v>
      </c>
      <c r="G625" s="40" t="s">
        <v>401</v>
      </c>
      <c r="H625" s="225"/>
      <c r="I625" s="277"/>
      <c r="J625" s="277"/>
      <c r="K625" s="38">
        <v>10000</v>
      </c>
      <c r="L625" s="39" t="s">
        <v>87</v>
      </c>
      <c r="M625" s="39" t="s">
        <v>24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>x</v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29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26"/>
        <v>7</v>
      </c>
      <c r="C626" s="37">
        <v>41101</v>
      </c>
      <c r="D626" s="205" t="s">
        <v>517</v>
      </c>
      <c r="E626" s="37">
        <v>41101</v>
      </c>
      <c r="F626" s="40" t="s">
        <v>972</v>
      </c>
      <c r="G626" s="40" t="s">
        <v>973</v>
      </c>
      <c r="H626" s="7" t="s">
        <v>487</v>
      </c>
      <c r="I626" s="277">
        <v>1500</v>
      </c>
      <c r="J626" s="277">
        <v>15665</v>
      </c>
      <c r="K626" s="38">
        <v>23497500</v>
      </c>
      <c r="L626" s="39" t="s">
        <v>186</v>
      </c>
      <c r="M626" s="699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29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26"/>
        <v>7</v>
      </c>
      <c r="C627" s="37">
        <v>41101</v>
      </c>
      <c r="D627" s="205" t="s">
        <v>517</v>
      </c>
      <c r="E627" s="37">
        <v>41101</v>
      </c>
      <c r="F627" s="40" t="s">
        <v>573</v>
      </c>
      <c r="G627" s="40" t="s">
        <v>973</v>
      </c>
      <c r="H627" s="7" t="s">
        <v>487</v>
      </c>
      <c r="I627" s="277"/>
      <c r="J627" s="277"/>
      <c r="K627" s="38">
        <v>2349750</v>
      </c>
      <c r="L627" s="39" t="s">
        <v>9</v>
      </c>
      <c r="M627" s="699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29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26"/>
        <v>7</v>
      </c>
      <c r="C628" s="37">
        <v>41103</v>
      </c>
      <c r="D628" s="205" t="s">
        <v>518</v>
      </c>
      <c r="E628" s="37">
        <v>41103</v>
      </c>
      <c r="F628" s="40" t="s">
        <v>896</v>
      </c>
      <c r="G628" s="40" t="s">
        <v>974</v>
      </c>
      <c r="H628" s="7" t="s">
        <v>487</v>
      </c>
      <c r="I628" s="277">
        <v>100</v>
      </c>
      <c r="J628" s="277">
        <v>13789</v>
      </c>
      <c r="K628" s="38">
        <v>1378900</v>
      </c>
      <c r="L628" s="39" t="s">
        <v>186</v>
      </c>
      <c r="M628" s="699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29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26"/>
        <v>7</v>
      </c>
      <c r="C629" s="37">
        <v>41103</v>
      </c>
      <c r="D629" s="205" t="s">
        <v>518</v>
      </c>
      <c r="E629" s="37">
        <v>41103</v>
      </c>
      <c r="F629" s="40" t="s">
        <v>975</v>
      </c>
      <c r="G629" s="40" t="s">
        <v>974</v>
      </c>
      <c r="H629" s="7" t="s">
        <v>487</v>
      </c>
      <c r="I629" s="277">
        <v>100</v>
      </c>
      <c r="J629" s="277">
        <v>11889</v>
      </c>
      <c r="K629" s="38">
        <v>1188900</v>
      </c>
      <c r="L629" s="39" t="s">
        <v>186</v>
      </c>
      <c r="M629" s="699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29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26"/>
        <v>7</v>
      </c>
      <c r="C630" s="37">
        <v>41103</v>
      </c>
      <c r="D630" s="205" t="s">
        <v>518</v>
      </c>
      <c r="E630" s="37">
        <v>41103</v>
      </c>
      <c r="F630" s="40" t="s">
        <v>976</v>
      </c>
      <c r="G630" s="40" t="s">
        <v>974</v>
      </c>
      <c r="H630" s="7" t="s">
        <v>487</v>
      </c>
      <c r="I630" s="277">
        <v>340</v>
      </c>
      <c r="J630" s="277">
        <v>15120</v>
      </c>
      <c r="K630" s="38">
        <v>5140800</v>
      </c>
      <c r="L630" s="39" t="s">
        <v>186</v>
      </c>
      <c r="M630" s="699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29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26"/>
        <v>7</v>
      </c>
      <c r="C631" s="37">
        <v>41103</v>
      </c>
      <c r="D631" s="205" t="s">
        <v>518</v>
      </c>
      <c r="E631" s="37">
        <v>41103</v>
      </c>
      <c r="F631" s="40" t="s">
        <v>977</v>
      </c>
      <c r="G631" s="40" t="s">
        <v>974</v>
      </c>
      <c r="H631" s="7" t="s">
        <v>487</v>
      </c>
      <c r="I631" s="277">
        <v>670</v>
      </c>
      <c r="J631" s="277">
        <v>7300</v>
      </c>
      <c r="K631" s="38">
        <v>4891000</v>
      </c>
      <c r="L631" s="39" t="s">
        <v>186</v>
      </c>
      <c r="M631" s="699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  <c r="AC631" s="226" t="str">
        <f>IF(ISNA(VLOOKUP(F631,NXT!$C$18:$C$347,1,0)),x,"")</f>
        <v/>
      </c>
    </row>
    <row r="632" spans="1:29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26"/>
        <v>7</v>
      </c>
      <c r="C632" s="37">
        <v>41103</v>
      </c>
      <c r="D632" s="205" t="s">
        <v>518</v>
      </c>
      <c r="E632" s="37">
        <v>41103</v>
      </c>
      <c r="F632" s="40" t="s">
        <v>573</v>
      </c>
      <c r="G632" s="40" t="s">
        <v>974</v>
      </c>
      <c r="H632" s="7" t="s">
        <v>487</v>
      </c>
      <c r="I632" s="277"/>
      <c r="J632" s="277"/>
      <c r="K632" s="38">
        <v>1259960</v>
      </c>
      <c r="L632" s="39" t="s">
        <v>9</v>
      </c>
      <c r="M632" s="699" t="s">
        <v>8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</row>
    <row r="633" spans="1:29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26"/>
        <v>7</v>
      </c>
      <c r="C633" s="37">
        <v>41104</v>
      </c>
      <c r="D633" s="205" t="s">
        <v>404</v>
      </c>
      <c r="E633" s="37">
        <v>41104</v>
      </c>
      <c r="F633" s="40" t="s">
        <v>451</v>
      </c>
      <c r="G633" s="40" t="s">
        <v>401</v>
      </c>
      <c r="H633" s="45" t="s">
        <v>978</v>
      </c>
      <c r="I633" s="277"/>
      <c r="J633" s="277"/>
      <c r="K633" s="38">
        <v>15000000</v>
      </c>
      <c r="L633" s="39" t="s">
        <v>24</v>
      </c>
      <c r="M633" s="39" t="s">
        <v>49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>x</v>
      </c>
      <c r="R633" s="55" t="str">
        <f>IF(ISERROR(FIND('112'!$M$9,G633,1)),"",IF((AND(FIND('112'!$M$9,G633,1)&gt;=1,$B633&gt;='112'!$N$8,$B633&lt;='112'!$O$8,OR($L633='112'!$I$6,$M633='112'!$I$6))),"x",""))</f>
        <v>x</v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29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26"/>
        <v>7</v>
      </c>
      <c r="C634" s="37">
        <v>41104</v>
      </c>
      <c r="D634" s="205" t="s">
        <v>468</v>
      </c>
      <c r="E634" s="37">
        <v>41104</v>
      </c>
      <c r="F634" s="40" t="s">
        <v>979</v>
      </c>
      <c r="G634" s="40" t="s">
        <v>980</v>
      </c>
      <c r="H634" s="45" t="s">
        <v>456</v>
      </c>
      <c r="I634" s="277"/>
      <c r="J634" s="277"/>
      <c r="K634" s="38">
        <v>1360000</v>
      </c>
      <c r="L634" s="39" t="s">
        <v>194</v>
      </c>
      <c r="M634" s="39" t="s">
        <v>49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>x</v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29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ref="B635:B698" si="28">IF(C635&lt;&gt;"",MONTH(C635),"")</f>
        <v>7</v>
      </c>
      <c r="C635" s="37">
        <v>41104</v>
      </c>
      <c r="D635" s="205" t="s">
        <v>468</v>
      </c>
      <c r="E635" s="37">
        <v>41104</v>
      </c>
      <c r="F635" s="40" t="s">
        <v>413</v>
      </c>
      <c r="G635" s="40" t="s">
        <v>980</v>
      </c>
      <c r="H635" s="225" t="s">
        <v>456</v>
      </c>
      <c r="I635" s="277"/>
      <c r="J635" s="277"/>
      <c r="K635" s="38">
        <v>136000</v>
      </c>
      <c r="L635" s="39" t="s">
        <v>9</v>
      </c>
      <c r="M635" s="39" t="s">
        <v>49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>x</v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29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28"/>
        <v>7</v>
      </c>
      <c r="C636" s="37">
        <v>41104</v>
      </c>
      <c r="D636" s="205" t="s">
        <v>519</v>
      </c>
      <c r="E636" s="37">
        <v>41104</v>
      </c>
      <c r="F636" s="40" t="s">
        <v>981</v>
      </c>
      <c r="G636" s="40" t="s">
        <v>982</v>
      </c>
      <c r="H636" s="7" t="s">
        <v>487</v>
      </c>
      <c r="I636" s="277">
        <v>680</v>
      </c>
      <c r="J636" s="277">
        <v>7204</v>
      </c>
      <c r="K636" s="38">
        <v>4898720</v>
      </c>
      <c r="L636" s="39" t="s">
        <v>186</v>
      </c>
      <c r="M636" s="699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29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28"/>
        <v>7</v>
      </c>
      <c r="C637" s="37">
        <v>41104</v>
      </c>
      <c r="D637" s="205" t="s">
        <v>519</v>
      </c>
      <c r="E637" s="37">
        <v>41104</v>
      </c>
      <c r="F637" s="40" t="s">
        <v>983</v>
      </c>
      <c r="G637" s="40" t="s">
        <v>982</v>
      </c>
      <c r="H637" s="7" t="s">
        <v>487</v>
      </c>
      <c r="I637" s="277">
        <v>100</v>
      </c>
      <c r="J637" s="277">
        <v>24922</v>
      </c>
      <c r="K637" s="38">
        <v>2492200</v>
      </c>
      <c r="L637" s="39" t="s">
        <v>186</v>
      </c>
      <c r="M637" s="699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  <c r="AC637" s="226" t="str">
        <f>IF(ISNA(VLOOKUP(F637,NXT!$C$18:$C$347,1,0)),x,"")</f>
        <v/>
      </c>
    </row>
    <row r="638" spans="1:29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28"/>
        <v>7</v>
      </c>
      <c r="C638" s="37">
        <v>41104</v>
      </c>
      <c r="D638" s="205" t="s">
        <v>519</v>
      </c>
      <c r="E638" s="205">
        <v>41104</v>
      </c>
      <c r="F638" s="40" t="s">
        <v>573</v>
      </c>
      <c r="G638" s="580" t="s">
        <v>982</v>
      </c>
      <c r="H638" s="7" t="s">
        <v>487</v>
      </c>
      <c r="I638" s="277"/>
      <c r="J638" s="277"/>
      <c r="K638" s="38">
        <v>739092</v>
      </c>
      <c r="L638" s="39" t="s">
        <v>9</v>
      </c>
      <c r="M638" s="699" t="s">
        <v>8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29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28"/>
        <v>7</v>
      </c>
      <c r="C639" s="37">
        <v>41106</v>
      </c>
      <c r="D639" s="205" t="s">
        <v>405</v>
      </c>
      <c r="E639" s="205">
        <v>41106</v>
      </c>
      <c r="F639" s="206" t="s">
        <v>455</v>
      </c>
      <c r="G639" s="581" t="s">
        <v>401</v>
      </c>
      <c r="H639" s="225"/>
      <c r="I639" s="277"/>
      <c r="J639" s="277"/>
      <c r="K639" s="38">
        <v>20000000</v>
      </c>
      <c r="L639" s="208" t="s">
        <v>8</v>
      </c>
      <c r="M639" s="208" t="s">
        <v>24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>x</v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29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28"/>
        <v>7</v>
      </c>
      <c r="C640" s="37">
        <v>41106</v>
      </c>
      <c r="D640" s="205" t="s">
        <v>405</v>
      </c>
      <c r="E640" s="205">
        <v>41106</v>
      </c>
      <c r="F640" s="206" t="s">
        <v>407</v>
      </c>
      <c r="G640" s="581" t="s">
        <v>401</v>
      </c>
      <c r="H640" s="207"/>
      <c r="I640" s="277"/>
      <c r="J640" s="277"/>
      <c r="K640" s="38">
        <v>20000</v>
      </c>
      <c r="L640" s="208" t="s">
        <v>87</v>
      </c>
      <c r="M640" s="39" t="s">
        <v>24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</row>
    <row r="641" spans="1:29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28"/>
        <v>7</v>
      </c>
      <c r="C641" s="37">
        <v>41106</v>
      </c>
      <c r="D641" s="205" t="s">
        <v>405</v>
      </c>
      <c r="E641" s="205">
        <v>41106</v>
      </c>
      <c r="F641" s="206" t="s">
        <v>455</v>
      </c>
      <c r="G641" s="581" t="s">
        <v>401</v>
      </c>
      <c r="H641" s="207"/>
      <c r="I641" s="277"/>
      <c r="J641" s="277"/>
      <c r="K641" s="38">
        <v>5518000</v>
      </c>
      <c r="L641" s="208" t="s">
        <v>8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29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28"/>
        <v>7</v>
      </c>
      <c r="C642" s="37">
        <v>41106</v>
      </c>
      <c r="D642" s="205" t="s">
        <v>405</v>
      </c>
      <c r="E642" s="205">
        <v>41106</v>
      </c>
      <c r="F642" s="206" t="s">
        <v>407</v>
      </c>
      <c r="G642" s="581" t="s">
        <v>401</v>
      </c>
      <c r="H642" s="225"/>
      <c r="I642" s="277"/>
      <c r="J642" s="277"/>
      <c r="K642" s="38">
        <v>10000</v>
      </c>
      <c r="L642" s="208" t="s">
        <v>87</v>
      </c>
      <c r="M642" s="39" t="s">
        <v>24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</row>
    <row r="643" spans="1:29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28"/>
        <v>7</v>
      </c>
      <c r="C643" s="37">
        <v>41106</v>
      </c>
      <c r="D643" s="205" t="s">
        <v>405</v>
      </c>
      <c r="E643" s="37">
        <v>41106</v>
      </c>
      <c r="F643" s="40" t="s">
        <v>455</v>
      </c>
      <c r="G643" s="581" t="s">
        <v>401</v>
      </c>
      <c r="H643" s="45"/>
      <c r="I643" s="277"/>
      <c r="J643" s="277"/>
      <c r="K643" s="38">
        <v>11633275</v>
      </c>
      <c r="L643" s="39" t="s">
        <v>8</v>
      </c>
      <c r="M643" s="39" t="s">
        <v>24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29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28"/>
        <v>7</v>
      </c>
      <c r="C644" s="37">
        <v>41106</v>
      </c>
      <c r="D644" s="205" t="s">
        <v>405</v>
      </c>
      <c r="E644" s="37">
        <v>41106</v>
      </c>
      <c r="F644" s="40" t="s">
        <v>407</v>
      </c>
      <c r="G644" s="581" t="s">
        <v>401</v>
      </c>
      <c r="H644" s="45"/>
      <c r="I644" s="277"/>
      <c r="J644" s="277"/>
      <c r="K644" s="38">
        <v>10000</v>
      </c>
      <c r="L644" s="39" t="s">
        <v>87</v>
      </c>
      <c r="M644" s="39" t="s">
        <v>24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>x</v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29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28"/>
        <v>7</v>
      </c>
      <c r="C645" s="37">
        <v>41107</v>
      </c>
      <c r="D645" s="205" t="s">
        <v>469</v>
      </c>
      <c r="E645" s="37">
        <v>41107</v>
      </c>
      <c r="F645" s="40" t="s">
        <v>451</v>
      </c>
      <c r="G645" s="581" t="s">
        <v>401</v>
      </c>
      <c r="H645" s="45" t="s">
        <v>706</v>
      </c>
      <c r="I645" s="277"/>
      <c r="J645" s="277"/>
      <c r="K645" s="38">
        <v>37000000</v>
      </c>
      <c r="L645" s="39" t="s">
        <v>24</v>
      </c>
      <c r="M645" s="39" t="s">
        <v>49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>x</v>
      </c>
      <c r="R645" s="55" t="str">
        <f>IF(ISERROR(FIND('112'!$M$9,G645,1)),"",IF((AND(FIND('112'!$M$9,G645,1)&gt;=1,$B645&gt;='112'!$N$8,$B645&lt;='112'!$O$8,OR($L645='112'!$I$6,$M645='112'!$I$6))),"x",""))</f>
        <v>x</v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29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28"/>
        <v>7</v>
      </c>
      <c r="C646" s="37">
        <v>41107</v>
      </c>
      <c r="D646" s="205" t="s">
        <v>520</v>
      </c>
      <c r="E646" s="37">
        <v>41107</v>
      </c>
      <c r="F646" s="40" t="s">
        <v>962</v>
      </c>
      <c r="G646" s="581" t="s">
        <v>984</v>
      </c>
      <c r="H646" s="7" t="s">
        <v>487</v>
      </c>
      <c r="I646" s="277">
        <v>250</v>
      </c>
      <c r="J646" s="277">
        <v>13999</v>
      </c>
      <c r="K646" s="38">
        <v>3499750</v>
      </c>
      <c r="L646" s="39" t="s">
        <v>186</v>
      </c>
      <c r="M646" s="699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29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28"/>
        <v>7</v>
      </c>
      <c r="C647" s="37">
        <v>41107</v>
      </c>
      <c r="D647" s="205" t="s">
        <v>520</v>
      </c>
      <c r="E647" s="37">
        <v>41107</v>
      </c>
      <c r="F647" s="40" t="s">
        <v>836</v>
      </c>
      <c r="G647" s="581" t="s">
        <v>984</v>
      </c>
      <c r="H647" s="7" t="s">
        <v>487</v>
      </c>
      <c r="I647" s="277">
        <v>250</v>
      </c>
      <c r="J647" s="277">
        <v>14726</v>
      </c>
      <c r="K647" s="38">
        <v>3681500</v>
      </c>
      <c r="L647" s="39" t="s">
        <v>186</v>
      </c>
      <c r="M647" s="699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  <c r="AC647" s="226" t="str">
        <f>IF(ISNA(VLOOKUP(F647,NXT!$C$18:$C$347,1,0)),x,"")</f>
        <v/>
      </c>
    </row>
    <row r="648" spans="1:29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28"/>
        <v>7</v>
      </c>
      <c r="C648" s="37">
        <v>41107</v>
      </c>
      <c r="D648" s="205" t="s">
        <v>520</v>
      </c>
      <c r="E648" s="37">
        <v>41107</v>
      </c>
      <c r="F648" s="40" t="s">
        <v>573</v>
      </c>
      <c r="G648" s="581" t="s">
        <v>984</v>
      </c>
      <c r="H648" s="7" t="s">
        <v>487</v>
      </c>
      <c r="I648" s="277"/>
      <c r="J648" s="277"/>
      <c r="K648" s="38">
        <v>718125</v>
      </c>
      <c r="L648" s="39" t="s">
        <v>9</v>
      </c>
      <c r="M648" s="699" t="s">
        <v>8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</row>
    <row r="649" spans="1:29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28"/>
        <v>7</v>
      </c>
      <c r="C649" s="37">
        <v>41108</v>
      </c>
      <c r="D649" s="205" t="s">
        <v>521</v>
      </c>
      <c r="E649" s="37">
        <v>41108</v>
      </c>
      <c r="F649" s="40" t="s">
        <v>791</v>
      </c>
      <c r="G649" s="581" t="s">
        <v>985</v>
      </c>
      <c r="H649" s="7" t="s">
        <v>487</v>
      </c>
      <c r="I649" s="277">
        <v>750</v>
      </c>
      <c r="J649" s="277">
        <v>17625</v>
      </c>
      <c r="K649" s="38">
        <v>13218750</v>
      </c>
      <c r="L649" s="39" t="s">
        <v>186</v>
      </c>
      <c r="M649" s="699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29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28"/>
        <v>7</v>
      </c>
      <c r="C650" s="37">
        <v>41108</v>
      </c>
      <c r="D650" s="205" t="s">
        <v>521</v>
      </c>
      <c r="E650" s="37">
        <v>41108</v>
      </c>
      <c r="F650" s="40" t="s">
        <v>573</v>
      </c>
      <c r="G650" s="40" t="s">
        <v>985</v>
      </c>
      <c r="H650" s="7" t="s">
        <v>487</v>
      </c>
      <c r="I650" s="277"/>
      <c r="J650" s="277"/>
      <c r="K650" s="38">
        <v>1321875</v>
      </c>
      <c r="L650" s="39" t="s">
        <v>9</v>
      </c>
      <c r="M650" s="699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29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28"/>
        <v>7</v>
      </c>
      <c r="C651" s="37">
        <v>41109</v>
      </c>
      <c r="D651" s="205" t="s">
        <v>470</v>
      </c>
      <c r="E651" s="37">
        <v>41109</v>
      </c>
      <c r="F651" s="40" t="s">
        <v>451</v>
      </c>
      <c r="G651" s="40" t="s">
        <v>401</v>
      </c>
      <c r="H651" s="45" t="s">
        <v>706</v>
      </c>
      <c r="I651" s="277"/>
      <c r="J651" s="277"/>
      <c r="K651" s="38">
        <v>15000000</v>
      </c>
      <c r="L651" s="39" t="s">
        <v>24</v>
      </c>
      <c r="M651" s="39" t="s">
        <v>49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>x</v>
      </c>
      <c r="R651" s="55" t="str">
        <f>IF(ISERROR(FIND('112'!$M$9,G651,1)),"",IF((AND(FIND('112'!$M$9,G651,1)&gt;=1,$B651&gt;='112'!$N$8,$B651&lt;='112'!$O$8,OR($L651='112'!$I$6,$M651='112'!$I$6))),"x",""))</f>
        <v>x</v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29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28"/>
        <v>7</v>
      </c>
      <c r="C652" s="37">
        <v>41109</v>
      </c>
      <c r="D652" s="205" t="s">
        <v>405</v>
      </c>
      <c r="E652" s="37">
        <v>41109</v>
      </c>
      <c r="F652" s="40" t="s">
        <v>455</v>
      </c>
      <c r="G652" s="40" t="s">
        <v>401</v>
      </c>
      <c r="H652" s="45"/>
      <c r="I652" s="277"/>
      <c r="J652" s="277"/>
      <c r="K652" s="38">
        <v>8361184</v>
      </c>
      <c r="L652" s="39" t="s">
        <v>8</v>
      </c>
      <c r="M652" s="39" t="s">
        <v>24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>x</v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29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28"/>
        <v>7</v>
      </c>
      <c r="C653" s="37">
        <v>41109</v>
      </c>
      <c r="D653" s="205" t="s">
        <v>405</v>
      </c>
      <c r="E653" s="37">
        <v>41109</v>
      </c>
      <c r="F653" s="40" t="s">
        <v>455</v>
      </c>
      <c r="G653" s="40" t="s">
        <v>401</v>
      </c>
      <c r="H653" s="225"/>
      <c r="I653" s="277"/>
      <c r="J653" s="277"/>
      <c r="K653" s="38">
        <v>58000000</v>
      </c>
      <c r="L653" s="39" t="s">
        <v>8</v>
      </c>
      <c r="M653" s="39" t="s">
        <v>24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>x</v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29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28"/>
        <v>7</v>
      </c>
      <c r="C654" s="37">
        <v>41109</v>
      </c>
      <c r="D654" s="205" t="s">
        <v>405</v>
      </c>
      <c r="E654" s="37">
        <v>41109</v>
      </c>
      <c r="F654" s="40" t="s">
        <v>407</v>
      </c>
      <c r="G654" s="40" t="s">
        <v>401</v>
      </c>
      <c r="H654" s="45"/>
      <c r="I654" s="277"/>
      <c r="J654" s="277"/>
      <c r="K654" s="38">
        <v>29000</v>
      </c>
      <c r="L654" s="39" t="s">
        <v>87</v>
      </c>
      <c r="M654" s="39" t="s">
        <v>24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29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28"/>
        <v>7</v>
      </c>
      <c r="C655" s="37">
        <v>41109</v>
      </c>
      <c r="D655" s="205" t="s">
        <v>405</v>
      </c>
      <c r="E655" s="37">
        <v>41109</v>
      </c>
      <c r="F655" s="40" t="s">
        <v>407</v>
      </c>
      <c r="G655" s="40" t="s">
        <v>401</v>
      </c>
      <c r="H655" s="45"/>
      <c r="I655" s="277"/>
      <c r="J655" s="277"/>
      <c r="K655" s="38">
        <v>10000</v>
      </c>
      <c r="L655" s="39" t="s">
        <v>87</v>
      </c>
      <c r="M655" s="39" t="s">
        <v>24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>x</v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29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28"/>
        <v>7</v>
      </c>
      <c r="C656" s="37">
        <v>41109</v>
      </c>
      <c r="D656" s="205" t="s">
        <v>405</v>
      </c>
      <c r="E656" s="37">
        <v>41109</v>
      </c>
      <c r="F656" s="40" t="s">
        <v>865</v>
      </c>
      <c r="G656" s="40" t="s">
        <v>401</v>
      </c>
      <c r="H656" s="225"/>
      <c r="I656" s="277"/>
      <c r="J656" s="277"/>
      <c r="K656" s="38">
        <v>10000</v>
      </c>
      <c r="L656" s="39" t="s">
        <v>87</v>
      </c>
      <c r="M656" s="39" t="s">
        <v>24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>x</v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30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28"/>
        <v>7</v>
      </c>
      <c r="C657" s="37">
        <v>41109</v>
      </c>
      <c r="D657" s="205" t="s">
        <v>522</v>
      </c>
      <c r="E657" s="37">
        <v>41109</v>
      </c>
      <c r="F657" s="40" t="s">
        <v>960</v>
      </c>
      <c r="G657" s="40" t="s">
        <v>986</v>
      </c>
      <c r="H657" s="7" t="s">
        <v>487</v>
      </c>
      <c r="I657" s="277">
        <v>1000</v>
      </c>
      <c r="J657" s="277">
        <v>14732</v>
      </c>
      <c r="K657" s="38">
        <v>14732000</v>
      </c>
      <c r="L657" s="39" t="s">
        <v>186</v>
      </c>
      <c r="M657" s="699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30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28"/>
        <v>7</v>
      </c>
      <c r="C658" s="37">
        <v>41109</v>
      </c>
      <c r="D658" s="205" t="s">
        <v>522</v>
      </c>
      <c r="E658" s="37">
        <v>41109</v>
      </c>
      <c r="F658" s="40" t="s">
        <v>987</v>
      </c>
      <c r="G658" s="40" t="s">
        <v>986</v>
      </c>
      <c r="H658" s="7" t="s">
        <v>487</v>
      </c>
      <c r="I658" s="277">
        <v>1500</v>
      </c>
      <c r="J658" s="277">
        <v>10668</v>
      </c>
      <c r="K658" s="38">
        <v>16002000</v>
      </c>
      <c r="L658" s="39" t="s">
        <v>186</v>
      </c>
      <c r="M658" s="699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30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28"/>
        <v>7</v>
      </c>
      <c r="C659" s="37">
        <v>41109</v>
      </c>
      <c r="D659" s="205" t="s">
        <v>522</v>
      </c>
      <c r="E659" s="205">
        <v>41109</v>
      </c>
      <c r="F659" s="206" t="s">
        <v>987</v>
      </c>
      <c r="G659" s="581" t="s">
        <v>986</v>
      </c>
      <c r="H659" s="7" t="s">
        <v>487</v>
      </c>
      <c r="I659" s="277">
        <v>170</v>
      </c>
      <c r="J659" s="277">
        <v>10801</v>
      </c>
      <c r="K659" s="38">
        <v>1836170</v>
      </c>
      <c r="L659" s="208" t="s">
        <v>186</v>
      </c>
      <c r="M659" s="699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30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28"/>
        <v>7</v>
      </c>
      <c r="C660" s="37">
        <v>41109</v>
      </c>
      <c r="D660" s="205" t="s">
        <v>522</v>
      </c>
      <c r="E660" s="205">
        <v>41109</v>
      </c>
      <c r="F660" s="206" t="s">
        <v>988</v>
      </c>
      <c r="G660" s="581" t="s">
        <v>986</v>
      </c>
      <c r="H660" s="7" t="s">
        <v>487</v>
      </c>
      <c r="I660" s="277">
        <v>200</v>
      </c>
      <c r="J660" s="277">
        <v>4429</v>
      </c>
      <c r="K660" s="38">
        <v>885800</v>
      </c>
      <c r="L660" s="208" t="s">
        <v>186</v>
      </c>
      <c r="M660" s="699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  <c r="AC660" s="226" t="str">
        <f>IF(ISNA(VLOOKUP(F660,NXT!$C$18:$C$347,1,0)),x,"")</f>
        <v/>
      </c>
    </row>
    <row r="661" spans="1:30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28"/>
        <v>7</v>
      </c>
      <c r="C661" s="37">
        <v>41109</v>
      </c>
      <c r="D661" s="205" t="s">
        <v>522</v>
      </c>
      <c r="E661" s="37">
        <v>41109</v>
      </c>
      <c r="F661" s="40" t="s">
        <v>989</v>
      </c>
      <c r="G661" s="40" t="s">
        <v>986</v>
      </c>
      <c r="H661" s="7" t="s">
        <v>487</v>
      </c>
      <c r="I661" s="277">
        <v>100</v>
      </c>
      <c r="J661" s="277">
        <v>16985</v>
      </c>
      <c r="K661" s="38">
        <v>1698500</v>
      </c>
      <c r="L661" s="39" t="s">
        <v>186</v>
      </c>
      <c r="M661" s="699" t="s">
        <v>8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  <c r="AC661" s="226" t="str">
        <f>IF(ISNA(VLOOKUP(F661,NXT!$C$18:$C$347,1,0)),x,"")</f>
        <v/>
      </c>
    </row>
    <row r="662" spans="1:30" s="226" customFormat="1" ht="15.75" customHeight="1">
      <c r="A662" s="219" t="str">
        <f>IF(B662&lt;&gt;"",IF(AND(B662&gt;=_TM1,B662&lt;=_TM2,OR(TH!L662="1111",TH!M662="1111")),TH!D662,""),"")</f>
        <v/>
      </c>
      <c r="B662" s="36">
        <f t="shared" si="28"/>
        <v>7</v>
      </c>
      <c r="C662" s="37">
        <v>41109</v>
      </c>
      <c r="D662" s="205" t="s">
        <v>522</v>
      </c>
      <c r="E662" s="37">
        <v>41109</v>
      </c>
      <c r="F662" s="40" t="s">
        <v>793</v>
      </c>
      <c r="G662" s="40" t="s">
        <v>986</v>
      </c>
      <c r="H662" s="7" t="s">
        <v>487</v>
      </c>
      <c r="I662" s="277">
        <v>1500</v>
      </c>
      <c r="J662" s="277">
        <v>18306</v>
      </c>
      <c r="K662" s="38">
        <v>27459000</v>
      </c>
      <c r="L662" s="39" t="s">
        <v>186</v>
      </c>
      <c r="M662" s="699" t="s">
        <v>8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  <c r="AC662" s="226" t="str">
        <f>IF(ISNA(VLOOKUP(F662,NXT!$C$18:$C$347,1,0)),x,"")</f>
        <v/>
      </c>
    </row>
    <row r="663" spans="1:30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28"/>
        <v>7</v>
      </c>
      <c r="C663" s="37">
        <v>41109</v>
      </c>
      <c r="D663" s="205" t="s">
        <v>522</v>
      </c>
      <c r="E663" s="37">
        <v>41109</v>
      </c>
      <c r="F663" s="40" t="s">
        <v>573</v>
      </c>
      <c r="G663" s="40" t="s">
        <v>986</v>
      </c>
      <c r="H663" s="7" t="s">
        <v>487</v>
      </c>
      <c r="I663" s="277"/>
      <c r="J663" s="277"/>
      <c r="K663" s="38">
        <v>6261347</v>
      </c>
      <c r="L663" s="39" t="s">
        <v>9</v>
      </c>
      <c r="M663" s="699" t="s">
        <v>8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30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28"/>
        <v>7</v>
      </c>
      <c r="C664" s="37">
        <v>41110</v>
      </c>
      <c r="D664" s="205" t="s">
        <v>404</v>
      </c>
      <c r="E664" s="37">
        <v>41110</v>
      </c>
      <c r="F664" s="40" t="s">
        <v>406</v>
      </c>
      <c r="G664" s="40" t="s">
        <v>401</v>
      </c>
      <c r="H664" s="45" t="s">
        <v>1140</v>
      </c>
      <c r="I664" s="277"/>
      <c r="J664" s="277"/>
      <c r="K664" s="38">
        <v>7345166</v>
      </c>
      <c r="L664" s="39" t="s">
        <v>24</v>
      </c>
      <c r="M664" s="39" t="s">
        <v>311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>x</v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D664" s="689"/>
    </row>
    <row r="665" spans="1:30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28"/>
        <v>7</v>
      </c>
      <c r="C665" s="37">
        <v>41110</v>
      </c>
      <c r="D665" s="205" t="s">
        <v>523</v>
      </c>
      <c r="E665" s="37">
        <v>41110</v>
      </c>
      <c r="F665" s="40" t="s">
        <v>990</v>
      </c>
      <c r="G665" s="40" t="s">
        <v>991</v>
      </c>
      <c r="H665" s="45" t="s">
        <v>992</v>
      </c>
      <c r="I665" s="277">
        <v>120</v>
      </c>
      <c r="J665" s="277">
        <v>14061</v>
      </c>
      <c r="K665" s="38">
        <v>1687320</v>
      </c>
      <c r="L665" s="39" t="s">
        <v>186</v>
      </c>
      <c r="M665" s="699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  <c r="AC665" s="226" t="str">
        <f>IF(ISNA(VLOOKUP(F665,NXT!$C$18:$C$347,1,0)),x,"")</f>
        <v/>
      </c>
    </row>
    <row r="666" spans="1:30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28"/>
        <v>7</v>
      </c>
      <c r="C666" s="37">
        <v>41110</v>
      </c>
      <c r="D666" s="205" t="s">
        <v>523</v>
      </c>
      <c r="E666" s="37">
        <v>41110</v>
      </c>
      <c r="F666" s="40" t="s">
        <v>993</v>
      </c>
      <c r="G666" s="40" t="s">
        <v>991</v>
      </c>
      <c r="H666" s="45" t="s">
        <v>992</v>
      </c>
      <c r="I666" s="277">
        <v>130</v>
      </c>
      <c r="J666" s="277">
        <v>13381</v>
      </c>
      <c r="K666" s="38">
        <v>1739530</v>
      </c>
      <c r="L666" s="39" t="s">
        <v>186</v>
      </c>
      <c r="M666" s="699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30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si="28"/>
        <v>7</v>
      </c>
      <c r="C667" s="37">
        <v>41110</v>
      </c>
      <c r="D667" s="205" t="s">
        <v>523</v>
      </c>
      <c r="E667" s="37">
        <v>41110</v>
      </c>
      <c r="F667" s="40" t="s">
        <v>994</v>
      </c>
      <c r="G667" s="40" t="s">
        <v>991</v>
      </c>
      <c r="H667" s="225" t="s">
        <v>992</v>
      </c>
      <c r="I667" s="278">
        <v>250</v>
      </c>
      <c r="J667" s="278">
        <v>9676</v>
      </c>
      <c r="K667" s="38">
        <v>2419000</v>
      </c>
      <c r="L667" s="39" t="s">
        <v>186</v>
      </c>
      <c r="M667" s="699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  <c r="AC667" s="226" t="str">
        <f>IF(ISNA(VLOOKUP(F667,NXT!$C$18:$C$347,1,0)),x,"")</f>
        <v/>
      </c>
    </row>
    <row r="668" spans="1:30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28"/>
        <v>7</v>
      </c>
      <c r="C668" s="37">
        <v>41110</v>
      </c>
      <c r="D668" s="205" t="s">
        <v>523</v>
      </c>
      <c r="E668" s="37">
        <v>41110</v>
      </c>
      <c r="F668" s="40" t="s">
        <v>995</v>
      </c>
      <c r="G668" s="40" t="s">
        <v>991</v>
      </c>
      <c r="H668" s="45" t="s">
        <v>992</v>
      </c>
      <c r="I668" s="277">
        <v>200</v>
      </c>
      <c r="J668" s="277">
        <v>10180</v>
      </c>
      <c r="K668" s="38">
        <v>2036000</v>
      </c>
      <c r="L668" s="39" t="s">
        <v>186</v>
      </c>
      <c r="M668" s="699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30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28"/>
        <v>7</v>
      </c>
      <c r="C669" s="37">
        <v>41110</v>
      </c>
      <c r="D669" s="205" t="s">
        <v>523</v>
      </c>
      <c r="E669" s="37">
        <v>41110</v>
      </c>
      <c r="F669" s="40" t="s">
        <v>996</v>
      </c>
      <c r="G669" s="40" t="s">
        <v>991</v>
      </c>
      <c r="H669" s="45" t="s">
        <v>992</v>
      </c>
      <c r="I669" s="277"/>
      <c r="J669" s="277"/>
      <c r="K669" s="38">
        <v>788185</v>
      </c>
      <c r="L669" s="39" t="s">
        <v>9</v>
      </c>
      <c r="M669" s="699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30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28"/>
        <v>7</v>
      </c>
      <c r="C670" s="37">
        <v>41110</v>
      </c>
      <c r="D670" s="205" t="s">
        <v>471</v>
      </c>
      <c r="E670" s="37">
        <v>41110</v>
      </c>
      <c r="F670" s="40" t="s">
        <v>997</v>
      </c>
      <c r="G670" s="580" t="s">
        <v>998</v>
      </c>
      <c r="H670" s="45" t="s">
        <v>456</v>
      </c>
      <c r="I670" s="277"/>
      <c r="J670" s="277"/>
      <c r="K670" s="38">
        <v>3660000</v>
      </c>
      <c r="L670" s="39" t="s">
        <v>194</v>
      </c>
      <c r="M670" s="39" t="s">
        <v>49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>x</v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30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28"/>
        <v>7</v>
      </c>
      <c r="C671" s="37">
        <v>41110</v>
      </c>
      <c r="D671" s="205" t="s">
        <v>471</v>
      </c>
      <c r="E671" s="37">
        <v>41110</v>
      </c>
      <c r="F671" s="40" t="s">
        <v>413</v>
      </c>
      <c r="G671" s="40" t="s">
        <v>998</v>
      </c>
      <c r="H671" s="45" t="s">
        <v>456</v>
      </c>
      <c r="I671" s="277"/>
      <c r="J671" s="277"/>
      <c r="K671" s="38">
        <v>366000</v>
      </c>
      <c r="L671" s="39" t="s">
        <v>9</v>
      </c>
      <c r="M671" s="39" t="s">
        <v>49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>x</v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30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28"/>
        <v>7</v>
      </c>
      <c r="C672" s="37">
        <v>41113</v>
      </c>
      <c r="D672" s="37" t="s">
        <v>404</v>
      </c>
      <c r="E672" s="37">
        <v>41113</v>
      </c>
      <c r="F672" s="40" t="s">
        <v>406</v>
      </c>
      <c r="G672" s="580" t="s">
        <v>401</v>
      </c>
      <c r="H672" s="45" t="s">
        <v>1141</v>
      </c>
      <c r="I672" s="277"/>
      <c r="J672" s="277"/>
      <c r="K672" s="38">
        <v>38186115</v>
      </c>
      <c r="L672" s="39" t="s">
        <v>24</v>
      </c>
      <c r="M672" s="39" t="s">
        <v>311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>x</v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D672" s="689"/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28"/>
        <v>7</v>
      </c>
      <c r="C673" s="37">
        <v>41114</v>
      </c>
      <c r="D673" s="37" t="s">
        <v>463</v>
      </c>
      <c r="E673" s="37">
        <v>41114</v>
      </c>
      <c r="F673" s="40" t="s">
        <v>550</v>
      </c>
      <c r="G673" s="581" t="s">
        <v>401</v>
      </c>
      <c r="H673" s="225" t="s">
        <v>706</v>
      </c>
      <c r="I673" s="277"/>
      <c r="J673" s="277"/>
      <c r="K673" s="38">
        <v>7500000</v>
      </c>
      <c r="L673" s="39" t="s">
        <v>49</v>
      </c>
      <c r="M673" s="39" t="s">
        <v>24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>x</v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>x</v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28"/>
        <v>7</v>
      </c>
      <c r="C674" s="37">
        <v>41115</v>
      </c>
      <c r="D674" s="37" t="s">
        <v>404</v>
      </c>
      <c r="E674" s="37">
        <v>41115</v>
      </c>
      <c r="F674" s="40" t="s">
        <v>406</v>
      </c>
      <c r="G674" s="581" t="s">
        <v>401</v>
      </c>
      <c r="H674" s="7" t="s">
        <v>416</v>
      </c>
      <c r="I674" s="277"/>
      <c r="J674" s="277"/>
      <c r="K674" s="38">
        <v>14544464</v>
      </c>
      <c r="L674" s="39" t="s">
        <v>24</v>
      </c>
      <c r="M674" s="39" t="s">
        <v>311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  <c r="AD674" s="689"/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28"/>
        <v>7</v>
      </c>
      <c r="C675" s="37">
        <v>41115</v>
      </c>
      <c r="D675" s="37" t="s">
        <v>404</v>
      </c>
      <c r="E675" s="37">
        <v>41115</v>
      </c>
      <c r="F675" s="40" t="s">
        <v>453</v>
      </c>
      <c r="G675" s="581" t="s">
        <v>401</v>
      </c>
      <c r="H675" s="45"/>
      <c r="I675" s="277"/>
      <c r="J675" s="277"/>
      <c r="K675" s="38">
        <v>62825</v>
      </c>
      <c r="L675" s="39" t="s">
        <v>24</v>
      </c>
      <c r="M675" s="39" t="s">
        <v>41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28"/>
        <v>7</v>
      </c>
      <c r="C676" s="37">
        <v>41115</v>
      </c>
      <c r="D676" s="205" t="s">
        <v>524</v>
      </c>
      <c r="E676" s="37">
        <v>41115</v>
      </c>
      <c r="F676" s="40" t="s">
        <v>826</v>
      </c>
      <c r="G676" s="581" t="s">
        <v>999</v>
      </c>
      <c r="H676" s="7" t="s">
        <v>487</v>
      </c>
      <c r="I676" s="277">
        <v>564</v>
      </c>
      <c r="J676" s="277">
        <v>22301</v>
      </c>
      <c r="K676" s="38">
        <v>12577764</v>
      </c>
      <c r="L676" s="39" t="s">
        <v>186</v>
      </c>
      <c r="M676" s="699" t="s">
        <v>8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  <c r="AC676" s="226" t="str">
        <f>IF(ISNA(VLOOKUP(F676,NXT!$C$18:$C$347,1,0)),x,"")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28"/>
        <v>7</v>
      </c>
      <c r="C677" s="37">
        <v>41115</v>
      </c>
      <c r="D677" s="205" t="s">
        <v>524</v>
      </c>
      <c r="E677" s="37">
        <v>41115</v>
      </c>
      <c r="F677" s="40" t="s">
        <v>1000</v>
      </c>
      <c r="G677" s="581" t="s">
        <v>999</v>
      </c>
      <c r="H677" s="7" t="s">
        <v>487</v>
      </c>
      <c r="I677" s="277">
        <v>170</v>
      </c>
      <c r="J677" s="277">
        <v>29411</v>
      </c>
      <c r="K677" s="38">
        <v>4999870</v>
      </c>
      <c r="L677" s="39" t="s">
        <v>186</v>
      </c>
      <c r="M677" s="699" t="s">
        <v>8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  <c r="AC677" s="226" t="str">
        <f>IF(ISNA(VLOOKUP(F677,NXT!$C$18:$C$347,1,0)),x,"")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28"/>
        <v>7</v>
      </c>
      <c r="C678" s="37">
        <v>41115</v>
      </c>
      <c r="D678" s="205" t="s">
        <v>524</v>
      </c>
      <c r="E678" s="37">
        <v>41115</v>
      </c>
      <c r="F678" s="40" t="s">
        <v>826</v>
      </c>
      <c r="G678" s="581" t="s">
        <v>999</v>
      </c>
      <c r="H678" s="7" t="s">
        <v>487</v>
      </c>
      <c r="I678" s="277">
        <v>436</v>
      </c>
      <c r="J678" s="277">
        <v>22301</v>
      </c>
      <c r="K678" s="38">
        <v>9723236</v>
      </c>
      <c r="L678" s="39" t="s">
        <v>186</v>
      </c>
      <c r="M678" s="699" t="s">
        <v>8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C678" s="226" t="str">
        <f>IF(ISNA(VLOOKUP(F678,NXT!$C$18:$C$347,1,0)),x,"")</f>
        <v/>
      </c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28"/>
        <v>7</v>
      </c>
      <c r="C679" s="37">
        <v>41115</v>
      </c>
      <c r="D679" s="205" t="s">
        <v>524</v>
      </c>
      <c r="E679" s="37">
        <v>41115</v>
      </c>
      <c r="F679" s="40" t="s">
        <v>573</v>
      </c>
      <c r="G679" s="581" t="s">
        <v>999</v>
      </c>
      <c r="H679" s="7" t="s">
        <v>487</v>
      </c>
      <c r="I679" s="277"/>
      <c r="J679" s="277"/>
      <c r="K679" s="38">
        <v>2730087</v>
      </c>
      <c r="L679" s="39" t="s">
        <v>9</v>
      </c>
      <c r="M679" s="699" t="s">
        <v>8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</row>
    <row r="680" spans="1:30" s="226" customFormat="1" ht="15.75" customHeight="1">
      <c r="A680" s="219" t="str">
        <f>IF(B680&lt;&gt;"",IF(AND(B680&gt;=_TM1,B680&lt;=_TM2,OR(TH!L680="1111",TH!M680="1111")),TH!D680,""),"")</f>
        <v/>
      </c>
      <c r="B680" s="36">
        <f t="shared" si="28"/>
        <v>7</v>
      </c>
      <c r="C680" s="37">
        <v>41117</v>
      </c>
      <c r="D680" s="205" t="s">
        <v>404</v>
      </c>
      <c r="E680" s="37">
        <v>41117</v>
      </c>
      <c r="F680" s="40" t="s">
        <v>406</v>
      </c>
      <c r="G680" s="581" t="s">
        <v>401</v>
      </c>
      <c r="H680" s="45" t="s">
        <v>1142</v>
      </c>
      <c r="I680" s="277"/>
      <c r="J680" s="277"/>
      <c r="K680" s="38">
        <v>5005000</v>
      </c>
      <c r="L680" s="39" t="s">
        <v>24</v>
      </c>
      <c r="M680" s="39" t="s">
        <v>311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  <c r="AD680" s="689"/>
    </row>
    <row r="681" spans="1:30" s="226" customFormat="1" ht="15.75" customHeight="1">
      <c r="A681" s="219" t="str">
        <f>IF(B681&lt;&gt;"",IF(AND(B681&gt;=_TM1,B681&lt;=_TM2,OR(TH!L681="1111",TH!M681="1111")),TH!D681,""),"")</f>
        <v/>
      </c>
      <c r="B681" s="36">
        <f t="shared" si="28"/>
        <v>7</v>
      </c>
      <c r="C681" s="37">
        <v>41117</v>
      </c>
      <c r="D681" s="205" t="s">
        <v>525</v>
      </c>
      <c r="E681" s="205">
        <v>41117</v>
      </c>
      <c r="F681" s="206" t="s">
        <v>773</v>
      </c>
      <c r="G681" s="206" t="s">
        <v>1001</v>
      </c>
      <c r="H681" s="7" t="s">
        <v>487</v>
      </c>
      <c r="I681" s="277">
        <v>260</v>
      </c>
      <c r="J681" s="277">
        <v>8505</v>
      </c>
      <c r="K681" s="38">
        <v>2211300</v>
      </c>
      <c r="L681" s="208" t="s">
        <v>186</v>
      </c>
      <c r="M681" s="699" t="s">
        <v>8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  <c r="AC681" s="226" t="str">
        <f>IF(ISNA(VLOOKUP(F681,NXT!$C$18:$C$347,1,0)),x,"")</f>
        <v/>
      </c>
    </row>
    <row r="682" spans="1:30" s="226" customFormat="1" ht="15.75" customHeight="1">
      <c r="A682" s="219" t="str">
        <f>IF(B682&lt;&gt;"",IF(AND(B682&gt;=_TM1,B682&lt;=_TM2,OR(TH!L682="1111",TH!M682="1111")),TH!D682,""),"")</f>
        <v/>
      </c>
      <c r="B682" s="36">
        <f t="shared" si="28"/>
        <v>7</v>
      </c>
      <c r="C682" s="37">
        <v>41117</v>
      </c>
      <c r="D682" s="205" t="s">
        <v>525</v>
      </c>
      <c r="E682" s="205">
        <v>41117</v>
      </c>
      <c r="F682" s="206" t="s">
        <v>761</v>
      </c>
      <c r="G682" s="581" t="s">
        <v>1001</v>
      </c>
      <c r="H682" s="7" t="s">
        <v>487</v>
      </c>
      <c r="I682" s="277">
        <v>500</v>
      </c>
      <c r="J682" s="277">
        <v>9828</v>
      </c>
      <c r="K682" s="38">
        <v>4914000</v>
      </c>
      <c r="L682" s="208" t="s">
        <v>186</v>
      </c>
      <c r="M682" s="699" t="s">
        <v>8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  <c r="AC682" s="226" t="str">
        <f>IF(ISNA(VLOOKUP(F682,NXT!$C$18:$C$347,1,0)),x,"")</f>
        <v/>
      </c>
    </row>
    <row r="683" spans="1:30" s="226" customFormat="1" ht="15.75" customHeight="1">
      <c r="A683" s="219" t="str">
        <f>IF(B683&lt;&gt;"",IF(AND(B683&gt;=_TM1,B683&lt;=_TM2,OR(TH!L683="1111",TH!M683="1111")),TH!D683,""),"")</f>
        <v/>
      </c>
      <c r="B683" s="36">
        <f t="shared" si="28"/>
        <v>7</v>
      </c>
      <c r="C683" s="37">
        <v>41117</v>
      </c>
      <c r="D683" s="205" t="s">
        <v>525</v>
      </c>
      <c r="E683" s="205">
        <v>41117</v>
      </c>
      <c r="F683" s="206" t="s">
        <v>800</v>
      </c>
      <c r="G683" s="581" t="s">
        <v>1001</v>
      </c>
      <c r="H683" s="7" t="s">
        <v>487</v>
      </c>
      <c r="I683" s="277">
        <v>1600</v>
      </c>
      <c r="J683" s="277">
        <v>10775</v>
      </c>
      <c r="K683" s="38">
        <v>17240000</v>
      </c>
      <c r="L683" s="208" t="s">
        <v>186</v>
      </c>
      <c r="M683" s="699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30" s="226" customFormat="1" ht="15.75" customHeight="1">
      <c r="A684" s="219" t="str">
        <f>IF(B684&lt;&gt;"",IF(AND(B684&gt;=_TM1,B684&lt;=_TM2,OR(TH!L684="1111",TH!M684="1111")),TH!D684,""),"")</f>
        <v/>
      </c>
      <c r="B684" s="36">
        <f t="shared" si="28"/>
        <v>7</v>
      </c>
      <c r="C684" s="37">
        <v>41117</v>
      </c>
      <c r="D684" s="205" t="s">
        <v>525</v>
      </c>
      <c r="E684" s="37">
        <v>41117</v>
      </c>
      <c r="F684" s="40" t="s">
        <v>1002</v>
      </c>
      <c r="G684" s="40" t="s">
        <v>1001</v>
      </c>
      <c r="H684" s="7" t="s">
        <v>487</v>
      </c>
      <c r="I684" s="277">
        <v>110</v>
      </c>
      <c r="J684" s="277">
        <v>19950</v>
      </c>
      <c r="K684" s="38">
        <v>2194500</v>
      </c>
      <c r="L684" s="39" t="s">
        <v>186</v>
      </c>
      <c r="M684" s="699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30" s="226" customFormat="1" ht="15.75" customHeight="1">
      <c r="A685" s="219" t="str">
        <f>IF(B685&lt;&gt;"",IF(AND(B685&gt;=_TM1,B685&lt;=_TM2,OR(TH!L685="1111",TH!M685="1111")),TH!D685,""),"")</f>
        <v/>
      </c>
      <c r="B685" s="36">
        <f t="shared" si="28"/>
        <v>7</v>
      </c>
      <c r="C685" s="37">
        <v>41117</v>
      </c>
      <c r="D685" s="205" t="s">
        <v>525</v>
      </c>
      <c r="E685" s="37">
        <v>41117</v>
      </c>
      <c r="F685" s="40" t="s">
        <v>573</v>
      </c>
      <c r="G685" s="40" t="s">
        <v>1001</v>
      </c>
      <c r="H685" s="7" t="s">
        <v>487</v>
      </c>
      <c r="I685" s="277"/>
      <c r="J685" s="277"/>
      <c r="K685" s="38">
        <v>2655980</v>
      </c>
      <c r="L685" s="39" t="s">
        <v>9</v>
      </c>
      <c r="M685" s="699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</row>
    <row r="686" spans="1:30" s="226" customFormat="1" ht="15.75" customHeight="1">
      <c r="A686" s="219" t="str">
        <f>IF(B686&lt;&gt;"",IF(AND(B686&gt;=_TM1,B686&lt;=_TM2,OR(TH!L686="1111",TH!M686="1111")),TH!D686,""),"")</f>
        <v/>
      </c>
      <c r="B686" s="36">
        <f t="shared" si="28"/>
        <v>7</v>
      </c>
      <c r="C686" s="37">
        <v>41118</v>
      </c>
      <c r="D686" s="205" t="s">
        <v>472</v>
      </c>
      <c r="E686" s="37">
        <v>41118</v>
      </c>
      <c r="F686" s="40" t="s">
        <v>451</v>
      </c>
      <c r="G686" s="40" t="s">
        <v>401</v>
      </c>
      <c r="H686" s="45" t="s">
        <v>706</v>
      </c>
      <c r="I686" s="277"/>
      <c r="J686" s="277"/>
      <c r="K686" s="38">
        <v>12000000</v>
      </c>
      <c r="L686" s="39" t="s">
        <v>24</v>
      </c>
      <c r="M686" s="39" t="s">
        <v>49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>x</v>
      </c>
      <c r="R686" s="55" t="str">
        <f>IF(ISERROR(FIND('112'!$M$9,G686,1)),"",IF((AND(FIND('112'!$M$9,G686,1)&gt;=1,$B686&gt;='112'!$N$8,$B686&lt;='112'!$O$8,OR($L686='112'!$I$6,$M686='112'!$I$6))),"x",""))</f>
        <v>x</v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</row>
    <row r="687" spans="1:30" s="226" customFormat="1" ht="15.75" customHeight="1">
      <c r="A687" s="219" t="str">
        <f>IF(B687&lt;&gt;"",IF(AND(B687&gt;=_TM1,B687&lt;=_TM2,OR(TH!L687="1111",TH!M687="1111")),TH!D687,""),"")</f>
        <v/>
      </c>
      <c r="B687" s="36">
        <f t="shared" si="28"/>
        <v>7</v>
      </c>
      <c r="C687" s="37">
        <v>41118</v>
      </c>
      <c r="D687" s="205" t="s">
        <v>526</v>
      </c>
      <c r="E687" s="37">
        <v>41118</v>
      </c>
      <c r="F687" s="40" t="s">
        <v>784</v>
      </c>
      <c r="G687" s="40" t="s">
        <v>1003</v>
      </c>
      <c r="H687" s="7" t="s">
        <v>487</v>
      </c>
      <c r="I687" s="278">
        <v>260</v>
      </c>
      <c r="J687" s="278">
        <v>17722</v>
      </c>
      <c r="K687" s="38">
        <v>4607720</v>
      </c>
      <c r="L687" s="39" t="s">
        <v>186</v>
      </c>
      <c r="M687" s="699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30" s="226" customFormat="1" ht="15.75" customHeight="1">
      <c r="A688" s="219" t="str">
        <f>IF(B688&lt;&gt;"",IF(AND(B688&gt;=_TM1,B688&lt;=_TM2,OR(TH!L688="1111",TH!M688="1111")),TH!D688,""),"")</f>
        <v/>
      </c>
      <c r="B688" s="36">
        <f t="shared" si="28"/>
        <v>7</v>
      </c>
      <c r="C688" s="37">
        <v>41118</v>
      </c>
      <c r="D688" s="205" t="s">
        <v>526</v>
      </c>
      <c r="E688" s="37">
        <v>41118</v>
      </c>
      <c r="F688" s="40" t="s">
        <v>1004</v>
      </c>
      <c r="G688" s="40" t="s">
        <v>1003</v>
      </c>
      <c r="H688" s="7" t="s">
        <v>487</v>
      </c>
      <c r="I688" s="277">
        <v>340</v>
      </c>
      <c r="J688" s="277">
        <v>15889</v>
      </c>
      <c r="K688" s="38">
        <v>5402260</v>
      </c>
      <c r="L688" s="39" t="s">
        <v>186</v>
      </c>
      <c r="M688" s="699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226" customFormat="1" ht="15.75" customHeight="1">
      <c r="A689" s="219" t="str">
        <f>IF(B689&lt;&gt;"",IF(AND(B689&gt;=_TM1,B689&lt;=_TM2,OR(TH!L689="1111",TH!M689="1111")),TH!D689,""),"")</f>
        <v/>
      </c>
      <c r="B689" s="36">
        <f t="shared" si="28"/>
        <v>7</v>
      </c>
      <c r="C689" s="37">
        <v>41118</v>
      </c>
      <c r="D689" s="205" t="s">
        <v>526</v>
      </c>
      <c r="E689" s="37">
        <v>41118</v>
      </c>
      <c r="F689" s="40" t="s">
        <v>928</v>
      </c>
      <c r="G689" s="40" t="s">
        <v>1003</v>
      </c>
      <c r="H689" s="7" t="s">
        <v>487</v>
      </c>
      <c r="I689" s="277">
        <v>520</v>
      </c>
      <c r="J689" s="277">
        <v>23028</v>
      </c>
      <c r="K689" s="38">
        <v>11974560</v>
      </c>
      <c r="L689" s="39" t="s">
        <v>186</v>
      </c>
      <c r="M689" s="699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  <c r="AC689" s="226" t="str">
        <f>IF(ISNA(VLOOKUP(F689,NXT!$C$18:$C$347,1,0)),x,"")</f>
        <v/>
      </c>
    </row>
    <row r="690" spans="1:29" s="226" customFormat="1" ht="15.75" customHeight="1">
      <c r="A690" s="219" t="str">
        <f>IF(B690&lt;&gt;"",IF(AND(B690&gt;=_TM1,B690&lt;=_TM2,OR(TH!L690="1111",TH!M690="1111")),TH!D690,""),"")</f>
        <v/>
      </c>
      <c r="B690" s="36">
        <f t="shared" si="28"/>
        <v>7</v>
      </c>
      <c r="C690" s="37">
        <v>41118</v>
      </c>
      <c r="D690" s="205" t="s">
        <v>526</v>
      </c>
      <c r="E690" s="37">
        <v>41118</v>
      </c>
      <c r="F690" s="40" t="s">
        <v>800</v>
      </c>
      <c r="G690" s="40" t="s">
        <v>1003</v>
      </c>
      <c r="H690" s="7" t="s">
        <v>487</v>
      </c>
      <c r="I690" s="277">
        <v>2000</v>
      </c>
      <c r="J690" s="277">
        <v>10775</v>
      </c>
      <c r="K690" s="38">
        <v>21550000</v>
      </c>
      <c r="L690" s="39" t="s">
        <v>186</v>
      </c>
      <c r="M690" s="699" t="s">
        <v>8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  <c r="AC690" s="226" t="str">
        <f>IF(ISNA(VLOOKUP(F690,NXT!$C$18:$C$347,1,0)),x,"")</f>
        <v/>
      </c>
    </row>
    <row r="691" spans="1:29" s="226" customFormat="1" ht="15.75" customHeight="1">
      <c r="A691" s="219" t="str">
        <f>IF(B691&lt;&gt;"",IF(AND(B691&gt;=_TM1,B691&lt;=_TM2,OR(TH!L691="1111",TH!M691="1111")),TH!D691,""),"")</f>
        <v/>
      </c>
      <c r="B691" s="36">
        <f t="shared" si="28"/>
        <v>7</v>
      </c>
      <c r="C691" s="37">
        <v>41118</v>
      </c>
      <c r="D691" s="205" t="s">
        <v>526</v>
      </c>
      <c r="E691" s="37">
        <v>41118</v>
      </c>
      <c r="F691" s="40" t="s">
        <v>764</v>
      </c>
      <c r="G691" s="40" t="s">
        <v>1003</v>
      </c>
      <c r="H691" s="7" t="s">
        <v>487</v>
      </c>
      <c r="I691" s="277">
        <v>90</v>
      </c>
      <c r="J691" s="277">
        <v>11150</v>
      </c>
      <c r="K691" s="38">
        <v>1003500</v>
      </c>
      <c r="L691" s="39" t="s">
        <v>186</v>
      </c>
      <c r="M691" s="699" t="s">
        <v>8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  <c r="AC691" s="226" t="str">
        <f>IF(ISNA(VLOOKUP(F691,NXT!$C$18:$C$347,1,0)),x,"")</f>
        <v/>
      </c>
    </row>
    <row r="692" spans="1:29" s="226" customFormat="1" ht="15.75" customHeight="1">
      <c r="A692" s="219" t="str">
        <f>IF(B692&lt;&gt;"",IF(AND(B692&gt;=_TM1,B692&lt;=_TM2,OR(TH!L692="1111",TH!M692="1111")),TH!D692,""),"")</f>
        <v/>
      </c>
      <c r="B692" s="36">
        <f t="shared" si="28"/>
        <v>7</v>
      </c>
      <c r="C692" s="37">
        <v>41118</v>
      </c>
      <c r="D692" s="205" t="s">
        <v>526</v>
      </c>
      <c r="E692" s="37">
        <v>41118</v>
      </c>
      <c r="F692" s="40" t="s">
        <v>573</v>
      </c>
      <c r="G692" s="40" t="s">
        <v>1003</v>
      </c>
      <c r="H692" s="7" t="s">
        <v>487</v>
      </c>
      <c r="I692" s="277"/>
      <c r="J692" s="277"/>
      <c r="K692" s="38">
        <v>4453804</v>
      </c>
      <c r="L692" s="39" t="s">
        <v>9</v>
      </c>
      <c r="M692" s="699" t="s">
        <v>8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226" customFormat="1" ht="15.75" customHeight="1">
      <c r="A693" s="219" t="str">
        <f>IF(B693&lt;&gt;"",IF(AND(B693&gt;=_TM1,B693&lt;=_TM2,OR(TH!L693="1111",TH!M693="1111")),TH!D693,""),"")</f>
        <v/>
      </c>
      <c r="B693" s="36">
        <f t="shared" si="28"/>
        <v>7</v>
      </c>
      <c r="C693" s="37">
        <v>41120</v>
      </c>
      <c r="D693" s="37" t="s">
        <v>405</v>
      </c>
      <c r="E693" s="37">
        <v>41120</v>
      </c>
      <c r="F693" s="40" t="s">
        <v>455</v>
      </c>
      <c r="G693" s="580" t="s">
        <v>401</v>
      </c>
      <c r="H693" s="45"/>
      <c r="I693" s="277"/>
      <c r="J693" s="277"/>
      <c r="K693" s="38">
        <v>70000000</v>
      </c>
      <c r="L693" s="39" t="s">
        <v>8</v>
      </c>
      <c r="M693" s="39" t="s">
        <v>24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>x</v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</row>
    <row r="694" spans="1:29" s="226" customFormat="1" ht="15.75" customHeight="1">
      <c r="A694" s="219" t="str">
        <f>IF(B694&lt;&gt;"",IF(AND(B694&gt;=_TM1,B694&lt;=_TM2,OR(TH!L694="1111",TH!M694="1111")),TH!D694,""),"")</f>
        <v/>
      </c>
      <c r="B694" s="36">
        <f>IF(C694&lt;&gt;"",MONTH(C694),"")</f>
        <v>7</v>
      </c>
      <c r="C694" s="37">
        <v>41120</v>
      </c>
      <c r="D694" s="37" t="s">
        <v>405</v>
      </c>
      <c r="E694" s="37">
        <v>41120</v>
      </c>
      <c r="F694" s="40" t="s">
        <v>407</v>
      </c>
      <c r="G694" s="580" t="s">
        <v>401</v>
      </c>
      <c r="H694" s="45"/>
      <c r="I694" s="277"/>
      <c r="J694" s="277"/>
      <c r="K694" s="38">
        <v>35000</v>
      </c>
      <c r="L694" s="39" t="s">
        <v>87</v>
      </c>
      <c r="M694" s="39" t="s">
        <v>24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>x</v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226" customFormat="1" ht="15.75" customHeight="1">
      <c r="A695" s="219" t="str">
        <f>IF(B695&lt;&gt;"",IF(AND(B695&gt;=_TM1,B695&lt;=_TM2,OR(TH!L695="1111",TH!M695="1111")),TH!D695,""),"")</f>
        <v/>
      </c>
      <c r="B695" s="36">
        <f t="shared" si="28"/>
        <v>7</v>
      </c>
      <c r="C695" s="37">
        <v>41120</v>
      </c>
      <c r="D695" s="37" t="s">
        <v>405</v>
      </c>
      <c r="E695" s="37">
        <v>41120</v>
      </c>
      <c r="F695" s="40" t="s">
        <v>865</v>
      </c>
      <c r="G695" s="580" t="s">
        <v>401</v>
      </c>
      <c r="H695" s="45"/>
      <c r="I695" s="277"/>
      <c r="J695" s="277"/>
      <c r="K695" s="38">
        <v>10000</v>
      </c>
      <c r="L695" s="208" t="s">
        <v>87</v>
      </c>
      <c r="M695" s="39" t="s">
        <v>24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>x</v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</row>
    <row r="696" spans="1:29" s="226" customFormat="1" ht="15.75" customHeight="1">
      <c r="A696" s="219" t="str">
        <f>IF(B696&lt;&gt;"",IF(AND(B696&gt;=_TM1,B696&lt;=_TM2,OR(TH!L696="1111",TH!M696="1111")),TH!D696,""),"")</f>
        <v/>
      </c>
      <c r="B696" s="36">
        <f t="shared" si="28"/>
        <v>7</v>
      </c>
      <c r="C696" s="37">
        <v>41120</v>
      </c>
      <c r="D696" s="205" t="s">
        <v>527</v>
      </c>
      <c r="E696" s="37">
        <v>41120</v>
      </c>
      <c r="F696" s="40" t="s">
        <v>1005</v>
      </c>
      <c r="G696" s="580" t="s">
        <v>1006</v>
      </c>
      <c r="H696" s="45" t="s">
        <v>992</v>
      </c>
      <c r="I696" s="277">
        <v>630</v>
      </c>
      <c r="J696" s="277">
        <v>10708</v>
      </c>
      <c r="K696" s="38">
        <v>6746040</v>
      </c>
      <c r="L696" s="208" t="s">
        <v>186</v>
      </c>
      <c r="M696" s="699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  <c r="AC696" s="226" t="str">
        <f>IF(ISNA(VLOOKUP(F696,NXT!$C$18:$C$347,1,0)),x,"")</f>
        <v/>
      </c>
    </row>
    <row r="697" spans="1:29" s="226" customFormat="1" ht="15.75" customHeight="1">
      <c r="A697" s="219" t="str">
        <f>IF(B697&lt;&gt;"",IF(AND(B697&gt;=_TM1,B697&lt;=_TM2,OR(TH!L697="1111",TH!M697="1111")),TH!D697,""),"")</f>
        <v/>
      </c>
      <c r="B697" s="36">
        <f t="shared" si="28"/>
        <v>7</v>
      </c>
      <c r="C697" s="37">
        <v>41120</v>
      </c>
      <c r="D697" s="205" t="s">
        <v>527</v>
      </c>
      <c r="E697" s="37">
        <v>41120</v>
      </c>
      <c r="F697" s="40" t="s">
        <v>996</v>
      </c>
      <c r="G697" s="580" t="s">
        <v>1006</v>
      </c>
      <c r="H697" s="45" t="s">
        <v>992</v>
      </c>
      <c r="I697" s="277"/>
      <c r="J697" s="277"/>
      <c r="K697" s="38">
        <v>674604</v>
      </c>
      <c r="L697" s="39" t="s">
        <v>9</v>
      </c>
      <c r="M697" s="699" t="s">
        <v>8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226" customFormat="1" ht="15.75" customHeight="1">
      <c r="A698" s="219" t="str">
        <f>IF(B698&lt;&gt;"",IF(AND(B698&gt;=_TM1,B698&lt;=_TM2,OR(TH!L698="1111",TH!M698="1111")),TH!D698,""),"")</f>
        <v/>
      </c>
      <c r="B698" s="36">
        <f t="shared" si="28"/>
        <v>7</v>
      </c>
      <c r="C698" s="37">
        <v>41120</v>
      </c>
      <c r="D698" s="205" t="s">
        <v>528</v>
      </c>
      <c r="E698" s="37">
        <v>41120</v>
      </c>
      <c r="F698" s="40" t="s">
        <v>898</v>
      </c>
      <c r="G698" s="580" t="s">
        <v>1007</v>
      </c>
      <c r="H698" s="7" t="s">
        <v>487</v>
      </c>
      <c r="I698" s="277">
        <v>110</v>
      </c>
      <c r="J698" s="277">
        <v>9324</v>
      </c>
      <c r="K698" s="38">
        <v>1025640</v>
      </c>
      <c r="L698" s="39" t="s">
        <v>186</v>
      </c>
      <c r="M698" s="699" t="s">
        <v>8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  <c r="AC698" s="226" t="str">
        <f>IF(ISNA(VLOOKUP(F698,NXT!$C$18:$C$347,1,0)),x,"")</f>
        <v/>
      </c>
    </row>
    <row r="699" spans="1:29" s="226" customFormat="1" ht="15.75" customHeight="1">
      <c r="A699" s="219" t="str">
        <f>IF(B699&lt;&gt;"",IF(AND(B699&gt;=_TM1,B699&lt;=_TM2,OR(TH!L699="1111",TH!M699="1111")),TH!D699,""),"")</f>
        <v/>
      </c>
      <c r="B699" s="36">
        <f t="shared" ref="B699:B711" si="29">IF(C699&lt;&gt;"",MONTH(C699),"")</f>
        <v>7</v>
      </c>
      <c r="C699" s="37">
        <v>41120</v>
      </c>
      <c r="D699" s="205" t="s">
        <v>528</v>
      </c>
      <c r="E699" s="37">
        <v>41120</v>
      </c>
      <c r="F699" s="40" t="s">
        <v>573</v>
      </c>
      <c r="G699" s="580" t="s">
        <v>1007</v>
      </c>
      <c r="H699" s="7" t="s">
        <v>487</v>
      </c>
      <c r="I699" s="277"/>
      <c r="J699" s="277"/>
      <c r="K699" s="38">
        <v>102564</v>
      </c>
      <c r="L699" s="39" t="s">
        <v>9</v>
      </c>
      <c r="M699" s="699" t="s">
        <v>8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226" customFormat="1" ht="15.75" customHeight="1">
      <c r="A700" s="219" t="str">
        <f>IF(B700&lt;&gt;"",IF(AND(B700&gt;=_TM1,B700&lt;=_TM2,OR(TH!L700="1111",TH!M700="1111")),TH!D700,""),"")</f>
        <v/>
      </c>
      <c r="B700" s="36">
        <f t="shared" si="29"/>
        <v>8</v>
      </c>
      <c r="C700" s="37">
        <v>41125</v>
      </c>
      <c r="D700" s="205" t="s">
        <v>529</v>
      </c>
      <c r="E700" s="37">
        <v>41125</v>
      </c>
      <c r="F700" s="40" t="s">
        <v>1008</v>
      </c>
      <c r="G700" s="580" t="s">
        <v>1009</v>
      </c>
      <c r="H700" s="7" t="s">
        <v>487</v>
      </c>
      <c r="I700" s="277">
        <v>960</v>
      </c>
      <c r="J700" s="277">
        <v>15288</v>
      </c>
      <c r="K700" s="38">
        <v>14676480</v>
      </c>
      <c r="L700" s="39" t="s">
        <v>186</v>
      </c>
      <c r="M700" s="699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226" customFormat="1" ht="15.75" customHeight="1">
      <c r="A701" s="219" t="str">
        <f>IF(B701&lt;&gt;"",IF(AND(B701&gt;=_TM1,B701&lt;=_TM2,OR(TH!L701="1111",TH!M701="1111")),TH!D701,""),"")</f>
        <v/>
      </c>
      <c r="B701" s="36">
        <f t="shared" si="29"/>
        <v>8</v>
      </c>
      <c r="C701" s="37">
        <v>41125</v>
      </c>
      <c r="D701" s="205" t="s">
        <v>529</v>
      </c>
      <c r="E701" s="37">
        <v>41125</v>
      </c>
      <c r="F701" s="40" t="s">
        <v>1010</v>
      </c>
      <c r="G701" s="580" t="s">
        <v>1009</v>
      </c>
      <c r="H701" s="7" t="s">
        <v>487</v>
      </c>
      <c r="I701" s="277">
        <v>200</v>
      </c>
      <c r="J701" s="277">
        <v>18402</v>
      </c>
      <c r="K701" s="38">
        <v>3680400</v>
      </c>
      <c r="L701" s="39" t="s">
        <v>186</v>
      </c>
      <c r="M701" s="699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226" customFormat="1" ht="15.75" customHeight="1">
      <c r="A702" s="219" t="str">
        <f>IF(B702&lt;&gt;"",IF(AND(B702&gt;=_TM1,B702&lt;=_TM2,OR(TH!L702="1111",TH!M702="1111")),TH!D702,""),"")</f>
        <v/>
      </c>
      <c r="B702" s="36">
        <f t="shared" si="29"/>
        <v>8</v>
      </c>
      <c r="C702" s="37">
        <v>41125</v>
      </c>
      <c r="D702" s="205" t="s">
        <v>529</v>
      </c>
      <c r="E702" s="37">
        <v>41125</v>
      </c>
      <c r="F702" s="40" t="s">
        <v>1011</v>
      </c>
      <c r="G702" s="580" t="s">
        <v>1009</v>
      </c>
      <c r="H702" s="7" t="s">
        <v>487</v>
      </c>
      <c r="I702" s="277">
        <v>220</v>
      </c>
      <c r="J702" s="277">
        <v>17716</v>
      </c>
      <c r="K702" s="38">
        <v>3897520</v>
      </c>
      <c r="L702" s="39" t="s">
        <v>186</v>
      </c>
      <c r="M702" s="699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  <c r="AC702" s="226" t="str">
        <f>IF(ISNA(VLOOKUP(F702,NXT!$C$18:$C$347,1,0)),x,"")</f>
        <v/>
      </c>
    </row>
    <row r="703" spans="1:29" s="226" customFormat="1" ht="15.75" customHeight="1">
      <c r="A703" s="219" t="str">
        <f>IF(B703&lt;&gt;"",IF(AND(B703&gt;=_TM1,B703&lt;=_TM2,OR(TH!L703="1111",TH!M703="1111")),TH!D703,""),"")</f>
        <v/>
      </c>
      <c r="B703" s="36">
        <f t="shared" si="29"/>
        <v>8</v>
      </c>
      <c r="C703" s="37">
        <v>41125</v>
      </c>
      <c r="D703" s="205" t="s">
        <v>529</v>
      </c>
      <c r="E703" s="37">
        <v>41125</v>
      </c>
      <c r="F703" s="40" t="s">
        <v>1012</v>
      </c>
      <c r="G703" s="580" t="s">
        <v>1009</v>
      </c>
      <c r="H703" s="7" t="s">
        <v>487</v>
      </c>
      <c r="I703" s="277">
        <v>360</v>
      </c>
      <c r="J703" s="277">
        <v>16278</v>
      </c>
      <c r="K703" s="38">
        <v>5860080</v>
      </c>
      <c r="L703" s="39" t="s">
        <v>186</v>
      </c>
      <c r="M703" s="699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226" customFormat="1" ht="15.75" customHeight="1">
      <c r="A704" s="219" t="str">
        <f>IF(B704&lt;&gt;"",IF(AND(B704&gt;=_TM1,B704&lt;=_TM2,OR(TH!L704="1111",TH!M704="1111")),TH!D704,""),"")</f>
        <v/>
      </c>
      <c r="B704" s="36">
        <f t="shared" si="29"/>
        <v>8</v>
      </c>
      <c r="C704" s="37">
        <v>41125</v>
      </c>
      <c r="D704" s="205" t="s">
        <v>529</v>
      </c>
      <c r="E704" s="37">
        <v>41125</v>
      </c>
      <c r="F704" s="40" t="s">
        <v>779</v>
      </c>
      <c r="G704" s="580" t="s">
        <v>1009</v>
      </c>
      <c r="H704" s="7" t="s">
        <v>487</v>
      </c>
      <c r="I704" s="277">
        <v>250</v>
      </c>
      <c r="J704" s="277">
        <v>11706</v>
      </c>
      <c r="K704" s="38">
        <v>2926500</v>
      </c>
      <c r="L704" s="39" t="s">
        <v>186</v>
      </c>
      <c r="M704" s="699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si="29"/>
        <v>8</v>
      </c>
      <c r="C705" s="37">
        <v>41125</v>
      </c>
      <c r="D705" s="205" t="s">
        <v>529</v>
      </c>
      <c r="E705" s="37">
        <v>41125</v>
      </c>
      <c r="F705" s="40" t="s">
        <v>573</v>
      </c>
      <c r="G705" s="580" t="s">
        <v>1009</v>
      </c>
      <c r="H705" s="7" t="s">
        <v>487</v>
      </c>
      <c r="I705" s="277"/>
      <c r="J705" s="277"/>
      <c r="K705" s="38">
        <v>3104098</v>
      </c>
      <c r="L705" s="39" t="s">
        <v>9</v>
      </c>
      <c r="M705" s="699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29"/>
        <v>8</v>
      </c>
      <c r="C706" s="37">
        <v>41128</v>
      </c>
      <c r="D706" s="37" t="s">
        <v>473</v>
      </c>
      <c r="E706" s="37">
        <v>41128</v>
      </c>
      <c r="F706" s="40" t="s">
        <v>451</v>
      </c>
      <c r="G706" s="580" t="s">
        <v>401</v>
      </c>
      <c r="H706" s="225" t="s">
        <v>706</v>
      </c>
      <c r="I706" s="277"/>
      <c r="J706" s="277"/>
      <c r="K706" s="38">
        <v>21000000</v>
      </c>
      <c r="L706" s="39" t="s">
        <v>24</v>
      </c>
      <c r="M706" s="39" t="s">
        <v>49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>x</v>
      </c>
      <c r="R706" s="55" t="str">
        <f>IF(ISERROR(FIND('112'!$M$9,G706,1)),"",IF((AND(FIND('112'!$M$9,G706,1)&gt;=1,$B706&gt;='112'!$N$8,$B706&lt;='112'!$O$8,OR($L706='112'!$I$6,$M706='112'!$I$6))),"x",""))</f>
        <v>x</v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29"/>
        <v>8</v>
      </c>
      <c r="C707" s="37">
        <v>41128</v>
      </c>
      <c r="D707" s="37" t="s">
        <v>404</v>
      </c>
      <c r="E707" s="37">
        <v>41128</v>
      </c>
      <c r="F707" s="40" t="s">
        <v>406</v>
      </c>
      <c r="G707" s="580" t="s">
        <v>401</v>
      </c>
      <c r="H707" s="7" t="s">
        <v>1553</v>
      </c>
      <c r="I707" s="277"/>
      <c r="J707" s="277"/>
      <c r="K707" s="38">
        <v>22260115</v>
      </c>
      <c r="L707" s="39" t="s">
        <v>24</v>
      </c>
      <c r="M707" s="39" t="s">
        <v>311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>x</v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  <c r="AD707" s="689"/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29"/>
        <v>8</v>
      </c>
      <c r="C708" s="37">
        <v>41128</v>
      </c>
      <c r="D708" s="37" t="s">
        <v>489</v>
      </c>
      <c r="E708" s="37">
        <v>41128</v>
      </c>
      <c r="F708" s="40" t="s">
        <v>727</v>
      </c>
      <c r="G708" s="580" t="s">
        <v>1013</v>
      </c>
      <c r="H708" s="225" t="s">
        <v>456</v>
      </c>
      <c r="I708" s="277"/>
      <c r="J708" s="277"/>
      <c r="K708" s="38">
        <v>3900000</v>
      </c>
      <c r="L708" s="39" t="s">
        <v>194</v>
      </c>
      <c r="M708" s="39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29"/>
        <v>8</v>
      </c>
      <c r="C709" s="37">
        <v>41128</v>
      </c>
      <c r="D709" s="37" t="s">
        <v>489</v>
      </c>
      <c r="E709" s="37">
        <v>41128</v>
      </c>
      <c r="F709" s="40" t="s">
        <v>413</v>
      </c>
      <c r="G709" s="580" t="s">
        <v>1013</v>
      </c>
      <c r="H709" s="225" t="s">
        <v>456</v>
      </c>
      <c r="I709" s="277"/>
      <c r="J709" s="277"/>
      <c r="K709" s="38">
        <v>390000</v>
      </c>
      <c r="L709" s="39" t="s">
        <v>9</v>
      </c>
      <c r="M709" s="39" t="s">
        <v>49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>x</v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29"/>
        <v>8</v>
      </c>
      <c r="C710" s="37">
        <v>41129</v>
      </c>
      <c r="D710" s="37" t="s">
        <v>404</v>
      </c>
      <c r="E710" s="37">
        <v>41129</v>
      </c>
      <c r="F710" s="40" t="s">
        <v>406</v>
      </c>
      <c r="G710" s="580" t="s">
        <v>401</v>
      </c>
      <c r="H710" s="225" t="s">
        <v>1138</v>
      </c>
      <c r="I710" s="277"/>
      <c r="J710" s="277"/>
      <c r="K710" s="38">
        <v>7040000</v>
      </c>
      <c r="L710" s="39" t="s">
        <v>24</v>
      </c>
      <c r="M710" s="39" t="s">
        <v>311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>x</v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D710" s="689"/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29"/>
        <v>8</v>
      </c>
      <c r="C711" s="37">
        <v>41130</v>
      </c>
      <c r="D711" s="37" t="s">
        <v>404</v>
      </c>
      <c r="E711" s="37">
        <v>41130</v>
      </c>
      <c r="F711" s="40" t="s">
        <v>406</v>
      </c>
      <c r="G711" s="580" t="s">
        <v>401</v>
      </c>
      <c r="H711" s="7" t="s">
        <v>1133</v>
      </c>
      <c r="I711" s="277"/>
      <c r="J711" s="277"/>
      <c r="K711" s="38">
        <v>10000000</v>
      </c>
      <c r="L711" s="39" t="s">
        <v>24</v>
      </c>
      <c r="M711" s="39" t="s">
        <v>311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>x</v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D711" s="689"/>
    </row>
    <row r="712" spans="1:30" s="689" customFormat="1" ht="15.75" customHeight="1">
      <c r="A712" s="219" t="str">
        <f>IF(B712&lt;&gt;"",IF(AND(B712&gt;=_TM1,B712&lt;=_TM2,OR(TH!L712="1111",TH!M712="1111")),TH!D712,""),"")</f>
        <v/>
      </c>
      <c r="B712" s="36">
        <f t="shared" ref="B712:B736" si="30">IF(C712&lt;&gt;"",MONTH(C712),"")</f>
        <v>8</v>
      </c>
      <c r="C712" s="37">
        <v>41130</v>
      </c>
      <c r="D712" s="37" t="s">
        <v>404</v>
      </c>
      <c r="E712" s="37">
        <v>41130</v>
      </c>
      <c r="F712" s="40" t="s">
        <v>406</v>
      </c>
      <c r="G712" s="40" t="s">
        <v>401</v>
      </c>
      <c r="H712" s="207" t="s">
        <v>1143</v>
      </c>
      <c r="I712" s="277"/>
      <c r="J712" s="277"/>
      <c r="K712" s="38">
        <v>19790606</v>
      </c>
      <c r="L712" s="39" t="s">
        <v>24</v>
      </c>
      <c r="M712" s="39" t="s">
        <v>311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>x</v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689" customFormat="1" ht="15.75" customHeight="1">
      <c r="A713" s="219" t="str">
        <f>IF(B713&lt;&gt;"",IF(AND(B713&gt;=_TM1,B713&lt;=_TM2,OR(TH!L713="1111",TH!M713="1111")),TH!D713,""),"")</f>
        <v/>
      </c>
      <c r="B713" s="36">
        <f t="shared" si="30"/>
        <v>8</v>
      </c>
      <c r="C713" s="37">
        <v>41130</v>
      </c>
      <c r="D713" s="37" t="s">
        <v>490</v>
      </c>
      <c r="E713" s="37">
        <v>41130</v>
      </c>
      <c r="F713" s="40" t="s">
        <v>606</v>
      </c>
      <c r="G713" s="40" t="s">
        <v>1014</v>
      </c>
      <c r="H713" s="45" t="s">
        <v>608</v>
      </c>
      <c r="I713" s="277"/>
      <c r="J713" s="277"/>
      <c r="K713" s="38">
        <v>634550</v>
      </c>
      <c r="L713" s="39" t="s">
        <v>87</v>
      </c>
      <c r="M713" s="39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689" customFormat="1" ht="15.75" customHeight="1">
      <c r="A714" s="219" t="str">
        <f>IF(B714&lt;&gt;"",IF(AND(B714&gt;=_TM1,B714&lt;=_TM2,OR(TH!L714="1111",TH!M714="1111")),TH!D714,""),"")</f>
        <v/>
      </c>
      <c r="B714" s="36">
        <f t="shared" si="30"/>
        <v>8</v>
      </c>
      <c r="C714" s="37">
        <v>41130</v>
      </c>
      <c r="D714" s="37" t="s">
        <v>490</v>
      </c>
      <c r="E714" s="37">
        <v>41130</v>
      </c>
      <c r="F714" s="40" t="s">
        <v>609</v>
      </c>
      <c r="G714" s="40" t="s">
        <v>1014</v>
      </c>
      <c r="H714" s="45" t="s">
        <v>608</v>
      </c>
      <c r="I714" s="277"/>
      <c r="J714" s="277"/>
      <c r="K714" s="38">
        <v>63455</v>
      </c>
      <c r="L714" s="39" t="s">
        <v>9</v>
      </c>
      <c r="M714" s="39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689" customFormat="1" ht="15.75" customHeight="1">
      <c r="A715" s="219" t="str">
        <f>IF(B715&lt;&gt;"",IF(AND(B715&gt;=_TM1,B715&lt;=_TM2,OR(TH!L715="1111",TH!M715="1111")),TH!D715,""),"")</f>
        <v/>
      </c>
      <c r="B715" s="36">
        <f t="shared" si="30"/>
        <v>8</v>
      </c>
      <c r="C715" s="37">
        <v>41130</v>
      </c>
      <c r="D715" s="205" t="s">
        <v>530</v>
      </c>
      <c r="E715" s="37">
        <v>41130</v>
      </c>
      <c r="F715" s="40" t="s">
        <v>1008</v>
      </c>
      <c r="G715" s="40" t="s">
        <v>1015</v>
      </c>
      <c r="H715" s="7" t="s">
        <v>487</v>
      </c>
      <c r="I715" s="277">
        <v>60</v>
      </c>
      <c r="J715" s="277">
        <v>15288</v>
      </c>
      <c r="K715" s="38">
        <v>917280</v>
      </c>
      <c r="L715" s="39" t="s">
        <v>186</v>
      </c>
      <c r="M715" s="699" t="s">
        <v>8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  <c r="AC715" s="226" t="str">
        <f>IF(ISNA(VLOOKUP(F715,NXT!$C$18:$C$347,1,0)),x,"")</f>
        <v/>
      </c>
    </row>
    <row r="716" spans="1:30" s="689" customFormat="1" ht="15.75" customHeight="1">
      <c r="A716" s="219" t="str">
        <f>IF(B716&lt;&gt;"",IF(AND(B716&gt;=_TM1,B716&lt;=_TM2,OR(TH!L716="1111",TH!M716="1111")),TH!D716,""),"")</f>
        <v/>
      </c>
      <c r="B716" s="36">
        <f t="shared" si="30"/>
        <v>8</v>
      </c>
      <c r="C716" s="37">
        <v>41130</v>
      </c>
      <c r="D716" s="205" t="s">
        <v>530</v>
      </c>
      <c r="E716" s="37">
        <v>41130</v>
      </c>
      <c r="F716" s="40" t="s">
        <v>1016</v>
      </c>
      <c r="G716" s="40" t="s">
        <v>1015</v>
      </c>
      <c r="H716" s="7" t="s">
        <v>487</v>
      </c>
      <c r="I716" s="277">
        <v>100</v>
      </c>
      <c r="J716" s="277">
        <v>23455</v>
      </c>
      <c r="K716" s="38">
        <v>2345500</v>
      </c>
      <c r="L716" s="39" t="s">
        <v>186</v>
      </c>
      <c r="M716" s="699" t="s">
        <v>8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C716" s="226" t="str">
        <f>IF(ISNA(VLOOKUP(F716,NXT!$C$18:$C$347,1,0)),x,"")</f>
        <v/>
      </c>
    </row>
    <row r="717" spans="1:30" s="689" customFormat="1" ht="15.75" customHeight="1">
      <c r="A717" s="219" t="str">
        <f>IF(B717&lt;&gt;"",IF(AND(B717&gt;=_TM1,B717&lt;=_TM2,OR(TH!L717="1111",TH!M717="1111")),TH!D717,""),"")</f>
        <v/>
      </c>
      <c r="B717" s="36">
        <f t="shared" si="30"/>
        <v>8</v>
      </c>
      <c r="C717" s="37">
        <v>41130</v>
      </c>
      <c r="D717" s="205" t="s">
        <v>530</v>
      </c>
      <c r="E717" s="37">
        <v>41130</v>
      </c>
      <c r="F717" s="40" t="s">
        <v>1017</v>
      </c>
      <c r="G717" s="40" t="s">
        <v>1015</v>
      </c>
      <c r="H717" s="7" t="s">
        <v>487</v>
      </c>
      <c r="I717" s="277">
        <v>100</v>
      </c>
      <c r="J717" s="277">
        <v>20992</v>
      </c>
      <c r="K717" s="38">
        <v>2099200</v>
      </c>
      <c r="L717" s="39" t="s">
        <v>186</v>
      </c>
      <c r="M717" s="699" t="s">
        <v>8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  <c r="AC717" s="226" t="str">
        <f>IF(ISNA(VLOOKUP(F717,NXT!$C$18:$C$347,1,0)),x,"")</f>
        <v/>
      </c>
    </row>
    <row r="718" spans="1:30" s="689" customFormat="1" ht="15.75" customHeight="1">
      <c r="A718" s="219" t="str">
        <f>IF(B718&lt;&gt;"",IF(AND(B718&gt;=_TM1,B718&lt;=_TM2,OR(TH!L718="1111",TH!M718="1111")),TH!D718,""),"")</f>
        <v/>
      </c>
      <c r="B718" s="36">
        <f t="shared" si="30"/>
        <v>8</v>
      </c>
      <c r="C718" s="37">
        <v>41130</v>
      </c>
      <c r="D718" s="205" t="s">
        <v>530</v>
      </c>
      <c r="E718" s="37">
        <v>41130</v>
      </c>
      <c r="F718" s="40" t="s">
        <v>1018</v>
      </c>
      <c r="G718" s="40" t="s">
        <v>1015</v>
      </c>
      <c r="H718" s="7" t="s">
        <v>487</v>
      </c>
      <c r="I718" s="277">
        <v>100</v>
      </c>
      <c r="J718" s="277">
        <v>21848</v>
      </c>
      <c r="K718" s="38">
        <v>2184800</v>
      </c>
      <c r="L718" s="39" t="s">
        <v>186</v>
      </c>
      <c r="M718" s="699" t="s">
        <v>8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  <c r="AC718" s="226" t="str">
        <f>IF(ISNA(VLOOKUP(F718,NXT!$C$18:$C$347,1,0)),x,"")</f>
        <v/>
      </c>
    </row>
    <row r="719" spans="1:30" s="689" customFormat="1" ht="15.75" customHeight="1">
      <c r="A719" s="219" t="str">
        <f>IF(B719&lt;&gt;"",IF(AND(B719&gt;=_TM1,B719&lt;=_TM2,OR(TH!L719="1111",TH!M719="1111")),TH!D719,""),"")</f>
        <v/>
      </c>
      <c r="B719" s="36">
        <f t="shared" si="30"/>
        <v>8</v>
      </c>
      <c r="C719" s="37">
        <v>41130</v>
      </c>
      <c r="D719" s="205" t="s">
        <v>530</v>
      </c>
      <c r="E719" s="37">
        <v>41130</v>
      </c>
      <c r="F719" s="40" t="s">
        <v>1019</v>
      </c>
      <c r="G719" s="40" t="s">
        <v>1015</v>
      </c>
      <c r="H719" s="7" t="s">
        <v>487</v>
      </c>
      <c r="I719" s="277">
        <v>140</v>
      </c>
      <c r="J719" s="277">
        <v>19768</v>
      </c>
      <c r="K719" s="38">
        <v>2767520</v>
      </c>
      <c r="L719" s="39" t="s">
        <v>186</v>
      </c>
      <c r="M719" s="699" t="s">
        <v>8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  <c r="AC719" s="226" t="str">
        <f>IF(ISNA(VLOOKUP(F719,NXT!$C$18:$C$347,1,0)),x,"")</f>
        <v/>
      </c>
    </row>
    <row r="720" spans="1:30" s="689" customFormat="1" ht="15.75" customHeight="1">
      <c r="A720" s="219" t="str">
        <f>IF(B720&lt;&gt;"",IF(AND(B720&gt;=_TM1,B720&lt;=_TM2,OR(TH!L720="1111",TH!M720="1111")),TH!D720,""),"")</f>
        <v/>
      </c>
      <c r="B720" s="36">
        <f t="shared" si="30"/>
        <v>8</v>
      </c>
      <c r="C720" s="37">
        <v>41130</v>
      </c>
      <c r="D720" s="205" t="s">
        <v>530</v>
      </c>
      <c r="E720" s="37">
        <v>41130</v>
      </c>
      <c r="F720" s="40" t="s">
        <v>962</v>
      </c>
      <c r="G720" s="40" t="s">
        <v>1015</v>
      </c>
      <c r="H720" s="7" t="s">
        <v>487</v>
      </c>
      <c r="I720" s="277">
        <v>250</v>
      </c>
      <c r="J720" s="277">
        <v>13999</v>
      </c>
      <c r="K720" s="38">
        <v>3499750</v>
      </c>
      <c r="L720" s="39" t="s">
        <v>186</v>
      </c>
      <c r="M720" s="699" t="s">
        <v>8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  <c r="AC720" s="226" t="str">
        <f>IF(ISNA(VLOOKUP(F720,NXT!$C$18:$C$347,1,0)),x,"")</f>
        <v/>
      </c>
    </row>
    <row r="721" spans="1:29" s="689" customFormat="1" ht="15.75" customHeight="1">
      <c r="A721" s="219" t="str">
        <f>IF(B721&lt;&gt;"",IF(AND(B721&gt;=_TM1,B721&lt;=_TM2,OR(TH!L721="1111",TH!M721="1111")),TH!D721,""),"")</f>
        <v/>
      </c>
      <c r="B721" s="36">
        <f t="shared" si="30"/>
        <v>8</v>
      </c>
      <c r="C721" s="37">
        <v>41130</v>
      </c>
      <c r="D721" s="205" t="s">
        <v>530</v>
      </c>
      <c r="E721" s="37">
        <v>41130</v>
      </c>
      <c r="F721" s="40" t="s">
        <v>573</v>
      </c>
      <c r="G721" s="40" t="s">
        <v>1015</v>
      </c>
      <c r="H721" s="7" t="s">
        <v>487</v>
      </c>
      <c r="I721" s="277"/>
      <c r="J721" s="277"/>
      <c r="K721" s="38">
        <v>1381405</v>
      </c>
      <c r="L721" s="39" t="s">
        <v>9</v>
      </c>
      <c r="M721" s="699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9" s="689" customFormat="1" ht="15.75" customHeight="1">
      <c r="A722" s="219" t="str">
        <f>IF(B722&lt;&gt;"",IF(AND(B722&gt;=_TM1,B722&lt;=_TM2,OR(TH!L722="1111",TH!M722="1111")),TH!D722,""),"")</f>
        <v/>
      </c>
      <c r="B722" s="36">
        <f t="shared" si="30"/>
        <v>8</v>
      </c>
      <c r="C722" s="37">
        <v>41131</v>
      </c>
      <c r="D722" s="37" t="s">
        <v>404</v>
      </c>
      <c r="E722" s="37">
        <v>41131</v>
      </c>
      <c r="F722" s="40" t="s">
        <v>406</v>
      </c>
      <c r="G722" s="40" t="s">
        <v>401</v>
      </c>
      <c r="H722" s="45" t="s">
        <v>1136</v>
      </c>
      <c r="I722" s="277"/>
      <c r="J722" s="277"/>
      <c r="K722" s="38">
        <v>8084780</v>
      </c>
      <c r="L722" s="39" t="s">
        <v>24</v>
      </c>
      <c r="M722" s="39" t="s">
        <v>311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>x</v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9" s="689" customFormat="1" ht="15.75" customHeight="1">
      <c r="A723" s="219" t="str">
        <f>IF(B723&lt;&gt;"",IF(AND(B723&gt;=_TM1,B723&lt;=_TM2,OR(TH!L723="1111",TH!M723="1111")),TH!D723,""),"")</f>
        <v/>
      </c>
      <c r="B723" s="36">
        <f t="shared" si="30"/>
        <v>8</v>
      </c>
      <c r="C723" s="37">
        <v>41131</v>
      </c>
      <c r="D723" s="37" t="s">
        <v>405</v>
      </c>
      <c r="E723" s="37">
        <v>41131</v>
      </c>
      <c r="F723" s="40" t="s">
        <v>455</v>
      </c>
      <c r="G723" s="40" t="s">
        <v>401</v>
      </c>
      <c r="H723" s="45"/>
      <c r="I723" s="277"/>
      <c r="J723" s="277"/>
      <c r="K723" s="38">
        <v>80000000</v>
      </c>
      <c r="L723" s="39" t="s">
        <v>8</v>
      </c>
      <c r="M723" s="39" t="s">
        <v>24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>x</v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9" s="689" customFormat="1" ht="15.75" customHeight="1">
      <c r="A724" s="219" t="str">
        <f>IF(B724&lt;&gt;"",IF(AND(B724&gt;=_TM1,B724&lt;=_TM2,OR(TH!L724="1111",TH!M724="1111")),TH!D724,""),"")</f>
        <v/>
      </c>
      <c r="B724" s="36">
        <f t="shared" si="30"/>
        <v>8</v>
      </c>
      <c r="C724" s="37">
        <v>41131</v>
      </c>
      <c r="D724" s="37" t="s">
        <v>405</v>
      </c>
      <c r="E724" s="37">
        <v>41131</v>
      </c>
      <c r="F724" s="40" t="s">
        <v>407</v>
      </c>
      <c r="G724" s="40" t="s">
        <v>401</v>
      </c>
      <c r="H724" s="45"/>
      <c r="I724" s="277"/>
      <c r="J724" s="277"/>
      <c r="K724" s="38">
        <v>40000</v>
      </c>
      <c r="L724" s="41" t="s">
        <v>87</v>
      </c>
      <c r="M724" s="39" t="s">
        <v>24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>x</v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689" customFormat="1" ht="15.75" customHeight="1">
      <c r="A725" s="219" t="str">
        <f>IF(B725&lt;&gt;"",IF(AND(B725&gt;=_TM1,B725&lt;=_TM2,OR(TH!L725="1111",TH!M725="1111")),TH!D725,""),"")</f>
        <v/>
      </c>
      <c r="B725" s="36">
        <f t="shared" si="30"/>
        <v>8</v>
      </c>
      <c r="C725" s="37">
        <v>41131</v>
      </c>
      <c r="D725" s="205" t="s">
        <v>531</v>
      </c>
      <c r="E725" s="37">
        <v>41131</v>
      </c>
      <c r="F725" s="40" t="s">
        <v>1020</v>
      </c>
      <c r="G725" s="40" t="s">
        <v>1021</v>
      </c>
      <c r="H725" s="7" t="s">
        <v>487</v>
      </c>
      <c r="I725" s="277">
        <v>1000</v>
      </c>
      <c r="J725" s="277">
        <v>21023</v>
      </c>
      <c r="K725" s="38">
        <v>21023000</v>
      </c>
      <c r="L725" s="39" t="s">
        <v>186</v>
      </c>
      <c r="M725" s="699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689" customFormat="1" ht="15.75" customHeight="1">
      <c r="A726" s="219" t="str">
        <f>IF(B726&lt;&gt;"",IF(AND(B726&gt;=_TM1,B726&lt;=_TM2,OR(TH!L726="1111",TH!M726="1111")),TH!D726,""),"")</f>
        <v/>
      </c>
      <c r="B726" s="36">
        <f t="shared" si="30"/>
        <v>8</v>
      </c>
      <c r="C726" s="37">
        <v>41131</v>
      </c>
      <c r="D726" s="205" t="s">
        <v>531</v>
      </c>
      <c r="E726" s="37">
        <v>41131</v>
      </c>
      <c r="F726" s="40" t="s">
        <v>573</v>
      </c>
      <c r="G726" s="40" t="s">
        <v>1021</v>
      </c>
      <c r="H726" s="7" t="s">
        <v>487</v>
      </c>
      <c r="I726" s="277"/>
      <c r="J726" s="277"/>
      <c r="K726" s="38">
        <v>2102300</v>
      </c>
      <c r="L726" s="39" t="s">
        <v>9</v>
      </c>
      <c r="M726" s="699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689" customFormat="1" ht="15.75" customHeight="1">
      <c r="A727" s="219" t="str">
        <f>IF(B727&lt;&gt;"",IF(AND(B727&gt;=_TM1,B727&lt;=_TM2,OR(TH!L727="1111",TH!M727="1111")),TH!D727,""),"")</f>
        <v/>
      </c>
      <c r="B727" s="36">
        <f t="shared" si="30"/>
        <v>8</v>
      </c>
      <c r="C727" s="37">
        <v>41134</v>
      </c>
      <c r="D727" s="205" t="s">
        <v>532</v>
      </c>
      <c r="E727" s="37">
        <v>41134</v>
      </c>
      <c r="F727" s="40" t="s">
        <v>1022</v>
      </c>
      <c r="G727" s="40" t="s">
        <v>1023</v>
      </c>
      <c r="H727" s="7" t="s">
        <v>487</v>
      </c>
      <c r="I727" s="277">
        <v>120</v>
      </c>
      <c r="J727" s="277">
        <v>10287</v>
      </c>
      <c r="K727" s="38">
        <v>1234440</v>
      </c>
      <c r="L727" s="41" t="s">
        <v>186</v>
      </c>
      <c r="M727" s="699" t="s">
        <v>8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  <c r="AC727" s="226" t="str">
        <f>IF(ISNA(VLOOKUP(F727,NXT!$C$18:$C$347,1,0)),x,"")</f>
        <v/>
      </c>
    </row>
    <row r="728" spans="1:29" s="689" customFormat="1" ht="15.75" customHeight="1">
      <c r="A728" s="219" t="str">
        <f>IF(B728&lt;&gt;"",IF(AND(B728&gt;=_TM1,B728&lt;=_TM2,OR(TH!L728="1111",TH!M728="1111")),TH!D728,""),"")</f>
        <v/>
      </c>
      <c r="B728" s="36">
        <f t="shared" si="30"/>
        <v>8</v>
      </c>
      <c r="C728" s="37">
        <v>41134</v>
      </c>
      <c r="D728" s="205" t="s">
        <v>532</v>
      </c>
      <c r="E728" s="37">
        <v>41134</v>
      </c>
      <c r="F728" s="40" t="s">
        <v>573</v>
      </c>
      <c r="G728" s="40" t="s">
        <v>1023</v>
      </c>
      <c r="H728" s="7" t="s">
        <v>487</v>
      </c>
      <c r="I728" s="277"/>
      <c r="J728" s="277"/>
      <c r="K728" s="38">
        <v>123444</v>
      </c>
      <c r="L728" s="41" t="s">
        <v>9</v>
      </c>
      <c r="M728" s="699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9" s="689" customFormat="1" ht="15.75" customHeight="1">
      <c r="A729" s="219" t="str">
        <f>IF(B729&lt;&gt;"",IF(AND(B729&gt;=_TM1,B729&lt;=_TM2,OR(TH!L729="1111",TH!M729="1111")),TH!D729,""),"")</f>
        <v/>
      </c>
      <c r="B729" s="36">
        <f t="shared" si="30"/>
        <v>8</v>
      </c>
      <c r="C729" s="37">
        <v>41135</v>
      </c>
      <c r="D729" s="37" t="s">
        <v>404</v>
      </c>
      <c r="E729" s="37">
        <v>41135</v>
      </c>
      <c r="F729" s="40" t="s">
        <v>451</v>
      </c>
      <c r="G729" s="40" t="s">
        <v>401</v>
      </c>
      <c r="H729" s="45" t="s">
        <v>706</v>
      </c>
      <c r="I729" s="277"/>
      <c r="J729" s="277"/>
      <c r="K729" s="38">
        <v>18500000</v>
      </c>
      <c r="L729" s="39" t="s">
        <v>24</v>
      </c>
      <c r="M729" s="39" t="s">
        <v>49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>x</v>
      </c>
      <c r="R729" s="55" t="str">
        <f>IF(ISERROR(FIND('112'!$M$9,G729,1)),"",IF((AND(FIND('112'!$M$9,G729,1)&gt;=1,$B729&gt;='112'!$N$8,$B729&lt;='112'!$O$8,OR($L729='112'!$I$6,$M729='112'!$I$6))),"x",""))</f>
        <v>x</v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9" s="689" customFormat="1" ht="15.75" customHeight="1">
      <c r="A730" s="219" t="str">
        <f>IF(B730&lt;&gt;"",IF(AND(B730&gt;=_TM1,B730&lt;=_TM2,OR(TH!L730="1111",TH!M730="1111")),TH!D730,""),"")</f>
        <v/>
      </c>
      <c r="B730" s="36">
        <f t="shared" si="30"/>
        <v>8</v>
      </c>
      <c r="C730" s="37">
        <v>41136</v>
      </c>
      <c r="D730" s="37" t="s">
        <v>491</v>
      </c>
      <c r="E730" s="37">
        <v>41136</v>
      </c>
      <c r="F730" s="40" t="s">
        <v>1024</v>
      </c>
      <c r="G730" s="40" t="s">
        <v>1025</v>
      </c>
      <c r="H730" s="45" t="s">
        <v>456</v>
      </c>
      <c r="I730" s="277"/>
      <c r="J730" s="277"/>
      <c r="K730" s="38">
        <v>1320000</v>
      </c>
      <c r="L730" s="39" t="s">
        <v>194</v>
      </c>
      <c r="M730" s="39" t="s">
        <v>49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>x</v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689" customFormat="1" ht="15.75" customHeight="1">
      <c r="A731" s="219" t="str">
        <f>IF(B731&lt;&gt;"",IF(AND(B731&gt;=_TM1,B731&lt;=_TM2,OR(TH!L731="1111",TH!M731="1111")),TH!D731,""),"")</f>
        <v/>
      </c>
      <c r="B731" s="36">
        <f t="shared" si="30"/>
        <v>8</v>
      </c>
      <c r="C731" s="37">
        <v>41136</v>
      </c>
      <c r="D731" s="37" t="s">
        <v>491</v>
      </c>
      <c r="E731" s="37">
        <v>41136</v>
      </c>
      <c r="F731" s="40" t="s">
        <v>413</v>
      </c>
      <c r="G731" s="580" t="s">
        <v>1025</v>
      </c>
      <c r="H731" s="45" t="s">
        <v>456</v>
      </c>
      <c r="I731" s="277"/>
      <c r="J731" s="277"/>
      <c r="K731" s="38">
        <v>132000</v>
      </c>
      <c r="L731" s="39" t="s">
        <v>9</v>
      </c>
      <c r="M731" s="39" t="s">
        <v>49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>x</v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9" s="689" customFormat="1" ht="15.75" customHeight="1">
      <c r="A732" s="219" t="str">
        <f>IF(B732&lt;&gt;"",IF(AND(B732&gt;=_TM1,B732&lt;=_TM2,OR(TH!L732="1111",TH!M732="1111")),TH!D732,""),"")</f>
        <v/>
      </c>
      <c r="B732" s="36">
        <f t="shared" si="30"/>
        <v>8</v>
      </c>
      <c r="C732" s="37">
        <v>41136</v>
      </c>
      <c r="D732" s="205" t="s">
        <v>533</v>
      </c>
      <c r="E732" s="37">
        <v>41136</v>
      </c>
      <c r="F732" s="40" t="s">
        <v>1000</v>
      </c>
      <c r="G732" s="580" t="s">
        <v>1026</v>
      </c>
      <c r="H732" s="7" t="s">
        <v>487</v>
      </c>
      <c r="I732" s="277">
        <v>340</v>
      </c>
      <c r="J732" s="277">
        <v>29411</v>
      </c>
      <c r="K732" s="38">
        <v>9999740</v>
      </c>
      <c r="L732" s="39" t="s">
        <v>186</v>
      </c>
      <c r="M732" s="699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689" customFormat="1" ht="15.75" customHeight="1">
      <c r="A733" s="219" t="str">
        <f>IF(B733&lt;&gt;"",IF(AND(B733&gt;=_TM1,B733&lt;=_TM2,OR(TH!L733="1111",TH!M733="1111")),TH!D733,""),"")</f>
        <v/>
      </c>
      <c r="B733" s="36">
        <f t="shared" si="30"/>
        <v>8</v>
      </c>
      <c r="C733" s="37">
        <v>41136</v>
      </c>
      <c r="D733" s="205" t="s">
        <v>533</v>
      </c>
      <c r="E733" s="37">
        <v>41136</v>
      </c>
      <c r="F733" s="40" t="s">
        <v>1027</v>
      </c>
      <c r="G733" s="40" t="s">
        <v>1026</v>
      </c>
      <c r="H733" s="7" t="s">
        <v>487</v>
      </c>
      <c r="I733" s="277">
        <v>100</v>
      </c>
      <c r="J733" s="277">
        <v>22601</v>
      </c>
      <c r="K733" s="38">
        <v>2260100</v>
      </c>
      <c r="L733" s="41" t="s">
        <v>186</v>
      </c>
      <c r="M733" s="699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  <c r="AC733" s="226" t="str">
        <f>IF(ISNA(VLOOKUP(F733,NXT!$C$18:$C$347,1,0)),x,"")</f>
        <v/>
      </c>
    </row>
    <row r="734" spans="1:29" s="689" customFormat="1" ht="15.75" customHeight="1">
      <c r="A734" s="219" t="str">
        <f>IF(B734&lt;&gt;"",IF(AND(B734&gt;=_TM1,B734&lt;=_TM2,OR(TH!L734="1111",TH!M734="1111")),TH!D734,""),"")</f>
        <v/>
      </c>
      <c r="B734" s="36">
        <f t="shared" si="30"/>
        <v>8</v>
      </c>
      <c r="C734" s="37">
        <v>41136</v>
      </c>
      <c r="D734" s="205" t="s">
        <v>533</v>
      </c>
      <c r="E734" s="37">
        <v>41136</v>
      </c>
      <c r="F734" s="40" t="s">
        <v>573</v>
      </c>
      <c r="G734" s="40" t="s">
        <v>1026</v>
      </c>
      <c r="H734" s="7" t="s">
        <v>487</v>
      </c>
      <c r="I734" s="277"/>
      <c r="J734" s="277"/>
      <c r="K734" s="38">
        <v>1225984</v>
      </c>
      <c r="L734" s="39" t="s">
        <v>9</v>
      </c>
      <c r="M734" s="699" t="s">
        <v>8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689" customFormat="1" ht="15.75" customHeight="1">
      <c r="A735" s="219" t="str">
        <f>IF(B735&lt;&gt;"",IF(AND(B735&gt;=_TM1,B735&lt;=_TM2,OR(TH!L735="1111",TH!M735="1111")),TH!D735,""),"")</f>
        <v/>
      </c>
      <c r="B735" s="36">
        <f t="shared" si="30"/>
        <v>8</v>
      </c>
      <c r="C735" s="37">
        <v>41137</v>
      </c>
      <c r="D735" s="205" t="s">
        <v>534</v>
      </c>
      <c r="E735" s="37">
        <v>41137</v>
      </c>
      <c r="F735" s="40" t="s">
        <v>1028</v>
      </c>
      <c r="G735" s="40" t="s">
        <v>488</v>
      </c>
      <c r="H735" s="45" t="s">
        <v>1029</v>
      </c>
      <c r="I735" s="277">
        <v>500</v>
      </c>
      <c r="J735" s="277">
        <v>13125</v>
      </c>
      <c r="K735" s="38">
        <v>6562500</v>
      </c>
      <c r="L735" s="39" t="s">
        <v>186</v>
      </c>
      <c r="M735" s="699" t="s">
        <v>8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  <c r="AC735" s="226" t="str">
        <f>IF(ISNA(VLOOKUP(F735,NXT!$C$18:$C$347,1,0)),x,"")</f>
        <v/>
      </c>
    </row>
    <row r="736" spans="1:29" s="689" customFormat="1" ht="15.75" customHeight="1">
      <c r="A736" s="219" t="str">
        <f>IF(B736&lt;&gt;"",IF(AND(B736&gt;=_TM1,B736&lt;=_TM2,OR(TH!L736="1111",TH!M736="1111")),TH!D736,""),"")</f>
        <v/>
      </c>
      <c r="B736" s="36">
        <f t="shared" si="30"/>
        <v>8</v>
      </c>
      <c r="C736" s="37">
        <v>41137</v>
      </c>
      <c r="D736" s="205" t="s">
        <v>534</v>
      </c>
      <c r="E736" s="37">
        <v>41137</v>
      </c>
      <c r="F736" s="40" t="s">
        <v>1030</v>
      </c>
      <c r="G736" s="580" t="s">
        <v>488</v>
      </c>
      <c r="H736" s="45" t="s">
        <v>1029</v>
      </c>
      <c r="I736" s="277">
        <v>500</v>
      </c>
      <c r="J736" s="277">
        <v>10863</v>
      </c>
      <c r="K736" s="38">
        <v>5431500</v>
      </c>
      <c r="L736" s="39" t="s">
        <v>186</v>
      </c>
      <c r="M736" s="699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30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ref="B737:B747" si="31">IF(C737&lt;&gt;"",MONTH(C737),"")</f>
        <v>8</v>
      </c>
      <c r="C737" s="37">
        <v>41137</v>
      </c>
      <c r="D737" s="205" t="s">
        <v>534</v>
      </c>
      <c r="E737" s="205">
        <v>41137</v>
      </c>
      <c r="F737" s="206" t="s">
        <v>1031</v>
      </c>
      <c r="G737" s="581" t="s">
        <v>488</v>
      </c>
      <c r="H737" s="207" t="s">
        <v>1029</v>
      </c>
      <c r="I737" s="277">
        <v>1000</v>
      </c>
      <c r="J737" s="277">
        <v>4600</v>
      </c>
      <c r="K737" s="38">
        <v>4600000</v>
      </c>
      <c r="L737" s="208" t="s">
        <v>186</v>
      </c>
      <c r="M737" s="699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30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31"/>
        <v>8</v>
      </c>
      <c r="C738" s="37">
        <v>41137</v>
      </c>
      <c r="D738" s="205" t="s">
        <v>534</v>
      </c>
      <c r="E738" s="205">
        <v>41137</v>
      </c>
      <c r="F738" s="206" t="s">
        <v>1032</v>
      </c>
      <c r="G738" s="581" t="s">
        <v>488</v>
      </c>
      <c r="H738" s="207" t="s">
        <v>1029</v>
      </c>
      <c r="I738" s="277"/>
      <c r="J738" s="277"/>
      <c r="K738" s="38">
        <v>1659400</v>
      </c>
      <c r="L738" s="208" t="s">
        <v>9</v>
      </c>
      <c r="M738" s="699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30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31"/>
        <v>8</v>
      </c>
      <c r="C739" s="37">
        <v>41137</v>
      </c>
      <c r="D739" s="205" t="s">
        <v>493</v>
      </c>
      <c r="E739" s="205">
        <v>41137</v>
      </c>
      <c r="F739" s="206" t="s">
        <v>455</v>
      </c>
      <c r="G739" s="581" t="s">
        <v>488</v>
      </c>
      <c r="H739" s="207" t="s">
        <v>1029</v>
      </c>
      <c r="I739" s="277"/>
      <c r="J739" s="277"/>
      <c r="K739" s="38">
        <v>18253400</v>
      </c>
      <c r="L739" s="208" t="s">
        <v>8</v>
      </c>
      <c r="M739" s="208" t="s">
        <v>49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>x</v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30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31"/>
        <v>8</v>
      </c>
      <c r="C740" s="37">
        <v>41139</v>
      </c>
      <c r="D740" s="205" t="s">
        <v>494</v>
      </c>
      <c r="E740" s="205">
        <v>41139</v>
      </c>
      <c r="F740" s="206" t="s">
        <v>451</v>
      </c>
      <c r="G740" s="581" t="s">
        <v>401</v>
      </c>
      <c r="H740" s="207" t="s">
        <v>706</v>
      </c>
      <c r="I740" s="277"/>
      <c r="J740" s="277"/>
      <c r="K740" s="38">
        <v>12500000</v>
      </c>
      <c r="L740" s="208" t="s">
        <v>24</v>
      </c>
      <c r="M740" s="208" t="s">
        <v>49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>x</v>
      </c>
      <c r="R740" s="55" t="str">
        <f>IF(ISERROR(FIND('112'!$M$9,G740,1)),"",IF((AND(FIND('112'!$M$9,G740,1)&gt;=1,$B740&gt;='112'!$N$8,$B740&lt;='112'!$O$8,OR($L740='112'!$I$6,$M740='112'!$I$6))),"x",""))</f>
        <v>x</v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30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si="31"/>
        <v>8</v>
      </c>
      <c r="C741" s="37">
        <v>41139</v>
      </c>
      <c r="D741" s="205" t="s">
        <v>535</v>
      </c>
      <c r="E741" s="205">
        <v>41139</v>
      </c>
      <c r="F741" s="206" t="s">
        <v>1033</v>
      </c>
      <c r="G741" s="581" t="s">
        <v>1034</v>
      </c>
      <c r="H741" s="7" t="s">
        <v>487</v>
      </c>
      <c r="I741" s="277">
        <v>200</v>
      </c>
      <c r="J741" s="277">
        <v>18314</v>
      </c>
      <c r="K741" s="38">
        <v>3662800</v>
      </c>
      <c r="L741" s="208" t="s">
        <v>186</v>
      </c>
      <c r="M741" s="699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30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31"/>
        <v>8</v>
      </c>
      <c r="C742" s="37">
        <v>41139</v>
      </c>
      <c r="D742" s="205" t="s">
        <v>535</v>
      </c>
      <c r="E742" s="205">
        <v>41139</v>
      </c>
      <c r="F742" s="206" t="s">
        <v>1035</v>
      </c>
      <c r="G742" s="581" t="s">
        <v>1034</v>
      </c>
      <c r="H742" s="7" t="s">
        <v>487</v>
      </c>
      <c r="I742" s="277">
        <v>50</v>
      </c>
      <c r="J742" s="277">
        <v>12635</v>
      </c>
      <c r="K742" s="38">
        <v>631750</v>
      </c>
      <c r="L742" s="208" t="s">
        <v>186</v>
      </c>
      <c r="M742" s="699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  <c r="AC742" s="226" t="str">
        <f>IF(ISNA(VLOOKUP(F742,NXT!$C$18:$C$347,1,0)),x,"")</f>
        <v/>
      </c>
    </row>
    <row r="743" spans="1:30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31"/>
        <v>8</v>
      </c>
      <c r="C743" s="37">
        <v>41139</v>
      </c>
      <c r="D743" s="205" t="s">
        <v>535</v>
      </c>
      <c r="E743" s="205">
        <v>41139</v>
      </c>
      <c r="F743" s="206" t="s">
        <v>780</v>
      </c>
      <c r="G743" s="581" t="s">
        <v>1034</v>
      </c>
      <c r="H743" s="7" t="s">
        <v>487</v>
      </c>
      <c r="I743" s="277">
        <v>1520</v>
      </c>
      <c r="J743" s="277">
        <v>23149</v>
      </c>
      <c r="K743" s="38">
        <v>35186480</v>
      </c>
      <c r="L743" s="208" t="s">
        <v>186</v>
      </c>
      <c r="M743" s="699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30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31"/>
        <v>8</v>
      </c>
      <c r="C744" s="37">
        <v>41139</v>
      </c>
      <c r="D744" s="205" t="s">
        <v>535</v>
      </c>
      <c r="E744" s="205">
        <v>41139</v>
      </c>
      <c r="F744" s="206" t="s">
        <v>573</v>
      </c>
      <c r="G744" s="581" t="s">
        <v>1034</v>
      </c>
      <c r="H744" s="7" t="s">
        <v>487</v>
      </c>
      <c r="I744" s="277"/>
      <c r="J744" s="277"/>
      <c r="K744" s="38">
        <v>3948103</v>
      </c>
      <c r="L744" s="208" t="s">
        <v>9</v>
      </c>
      <c r="M744" s="699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30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31"/>
        <v>8</v>
      </c>
      <c r="C745" s="37">
        <v>41141</v>
      </c>
      <c r="D745" s="205" t="s">
        <v>495</v>
      </c>
      <c r="E745" s="205">
        <v>41141</v>
      </c>
      <c r="F745" s="206" t="s">
        <v>451</v>
      </c>
      <c r="G745" s="581" t="s">
        <v>401</v>
      </c>
      <c r="H745" s="207" t="s">
        <v>706</v>
      </c>
      <c r="I745" s="277"/>
      <c r="J745" s="277"/>
      <c r="K745" s="38">
        <v>1000000</v>
      </c>
      <c r="L745" s="208" t="s">
        <v>24</v>
      </c>
      <c r="M745" s="208" t="s">
        <v>49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>x</v>
      </c>
      <c r="R745" s="55" t="str">
        <f>IF(ISERROR(FIND('112'!$M$9,G745,1)),"",IF((AND(FIND('112'!$M$9,G745,1)&gt;=1,$B745&gt;='112'!$N$8,$B745&lt;='112'!$O$8,OR($L745='112'!$I$6,$M745='112'!$I$6))),"x",""))</f>
        <v>x</v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30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31"/>
        <v>8</v>
      </c>
      <c r="C746" s="37">
        <v>41141</v>
      </c>
      <c r="D746" s="205" t="s">
        <v>496</v>
      </c>
      <c r="E746" s="205">
        <v>41141</v>
      </c>
      <c r="F746" s="206" t="s">
        <v>588</v>
      </c>
      <c r="G746" s="206" t="s">
        <v>1036</v>
      </c>
      <c r="H746" s="207" t="s">
        <v>590</v>
      </c>
      <c r="I746" s="277"/>
      <c r="J746" s="277"/>
      <c r="K746" s="38">
        <v>1694703</v>
      </c>
      <c r="L746" s="208" t="s">
        <v>87</v>
      </c>
      <c r="M746" s="208" t="s">
        <v>49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>x</v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30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31"/>
        <v>8</v>
      </c>
      <c r="C747" s="37">
        <v>41141</v>
      </c>
      <c r="D747" s="205" t="s">
        <v>496</v>
      </c>
      <c r="E747" s="205">
        <v>41141</v>
      </c>
      <c r="F747" s="206" t="s">
        <v>591</v>
      </c>
      <c r="G747" s="206" t="s">
        <v>1036</v>
      </c>
      <c r="H747" s="207" t="s">
        <v>590</v>
      </c>
      <c r="I747" s="277"/>
      <c r="J747" s="277"/>
      <c r="K747" s="38">
        <v>169470</v>
      </c>
      <c r="L747" s="208" t="s">
        <v>9</v>
      </c>
      <c r="M747" s="208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30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ref="B748:B762" si="32">IF(C748&lt;&gt;"",MONTH(C748),"")</f>
        <v>8</v>
      </c>
      <c r="C748" s="37">
        <v>41142</v>
      </c>
      <c r="D748" s="205" t="s">
        <v>404</v>
      </c>
      <c r="E748" s="205">
        <v>41142</v>
      </c>
      <c r="F748" s="206" t="s">
        <v>406</v>
      </c>
      <c r="G748" s="581" t="s">
        <v>401</v>
      </c>
      <c r="H748" s="207" t="s">
        <v>1144</v>
      </c>
      <c r="I748" s="277"/>
      <c r="J748" s="277"/>
      <c r="K748" s="38">
        <v>5869600</v>
      </c>
      <c r="L748" s="208" t="s">
        <v>24</v>
      </c>
      <c r="M748" s="208" t="s">
        <v>311</v>
      </c>
      <c r="N748" s="55" t="str">
        <f>IF(AND('331-CT'!$E$7=TH!H748,OR(L748="331",M748="331")),"x","")</f>
        <v/>
      </c>
      <c r="O748" s="55" t="str">
        <f>IF(AND($B748&gt;='111'!$N$11,$B748&lt;='111'!$O$11,OR($L748=$O$7,$M748=$O$7)),"x","")</f>
        <v/>
      </c>
      <c r="P748" s="55" t="str">
        <f>IF(AND($L748=$O$7,$B748&lt;'111'!$N$11),"x","")</f>
        <v/>
      </c>
      <c r="Q748" s="55" t="str">
        <f>IF(AND($M748=$O$7,$B748&lt;'111'!$N$11),"x","")</f>
        <v/>
      </c>
      <c r="R748" s="55" t="str">
        <f>IF(ISERROR(FIND('112'!$M$9,G748,1)),"",IF((AND(FIND('112'!$M$9,G748,1)&gt;=1,$B748&gt;='112'!$N$8,$B748&lt;='112'!$O$8,OR($L748='112'!$I$6,$M748='112'!$I$6))),"x",""))</f>
        <v>x</v>
      </c>
      <c r="S748" s="55" t="str">
        <f>IF(ISERROR(FIND('112'!$M$9,G748,1)),"",IF((AND(LEFT(G748,2)=LEFT('112'!$M$9,2),B748&lt;'112'!$N$8,$L748='112'!$I$6)),"x",""))</f>
        <v/>
      </c>
      <c r="T748" s="55" t="str">
        <f>IF(ISERROR(FIND('112'!$M$9,G748,1)),"",IF((AND(RIGHT(G748,2)=RIGHT('112'!$M$9,2),B748&lt;'112'!$N$8,$M748='112'!$I$6)),"x",""))</f>
        <v/>
      </c>
      <c r="U748" s="55" t="str">
        <f>IF(AND('3411-CT'!$F$9=H748,OR(LEFT(L748,3)=$U$7,LEFT(M748,3)=$U$7)),"x","")</f>
        <v/>
      </c>
      <c r="V748" s="55" t="str">
        <f>IF(OR(TH!L748=TH!$V$7,M748=TH!$V$7),"x","")</f>
        <v/>
      </c>
      <c r="W748" s="55" t="str">
        <f>IF(AND(OR(L748="131",M748="131"),H748='131-CT'!$E$7),"x","")</f>
        <v/>
      </c>
      <c r="X748" s="55" t="str">
        <f>IF(AND(B748&gt;='IN-NX'!$P$3,B748&lt;='IN-NX'!$Q$3,'IN-NX'!$D$7=D748,OR(LEFT(TH!L748,2)="15",LEFT(TH!M748,2)="15")),"x","")</f>
        <v/>
      </c>
      <c r="Y748" s="55" t="str">
        <f>IF(AND(OR(LEFT(TH!L748,2)="15",LEFT(TH!M748,2)="15"),'152-CT'!$J$8=TH!F748),"x","")</f>
        <v/>
      </c>
      <c r="Z748" s="55" t="str">
        <f>IF(AND(OR(LEFT(TH!L748,2)="15",LEFT(TH!M748,2)="15"),TK!$E$7=TH!F748),"x","")</f>
        <v/>
      </c>
      <c r="AA748" s="55" t="str">
        <f>IF(AND(B748&lt;=NKC!$N$8,B748&gt;=NKC!$M$8),"x","")</f>
        <v/>
      </c>
      <c r="AD748" s="689"/>
    </row>
    <row r="749" spans="1:30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32"/>
        <v>8</v>
      </c>
      <c r="C749" s="37">
        <v>41142</v>
      </c>
      <c r="D749" s="205" t="s">
        <v>405</v>
      </c>
      <c r="E749" s="205">
        <v>41142</v>
      </c>
      <c r="F749" s="206" t="s">
        <v>455</v>
      </c>
      <c r="G749" s="581" t="s">
        <v>401</v>
      </c>
      <c r="H749" s="207"/>
      <c r="I749" s="277"/>
      <c r="J749" s="277"/>
      <c r="K749" s="38">
        <v>40000000</v>
      </c>
      <c r="L749" s="208" t="s">
        <v>8</v>
      </c>
      <c r="M749" s="208" t="s">
        <v>24</v>
      </c>
      <c r="N749" s="55" t="str">
        <f>IF(AND('331-CT'!$E$7=TH!H749,OR(L749="331",M749="331")),"x","")</f>
        <v/>
      </c>
      <c r="O749" s="55" t="str">
        <f>IF(AND($B749&gt;='111'!$N$11,$B749&lt;='111'!$O$11,OR($L749=$O$7,$M749=$O$7)),"x","")</f>
        <v/>
      </c>
      <c r="P749" s="55" t="str">
        <f>IF(AND($L749=$O$7,$B749&lt;'111'!$N$11),"x","")</f>
        <v/>
      </c>
      <c r="Q749" s="55" t="str">
        <f>IF(AND($M749=$O$7,$B749&lt;'111'!$N$11),"x","")</f>
        <v/>
      </c>
      <c r="R749" s="55" t="str">
        <f>IF(ISERROR(FIND('112'!$M$9,G749,1)),"",IF((AND(FIND('112'!$M$9,G749,1)&gt;=1,$B749&gt;='112'!$N$8,$B749&lt;='112'!$O$8,OR($L749='112'!$I$6,$M749='112'!$I$6))),"x",""))</f>
        <v>x</v>
      </c>
      <c r="S749" s="55" t="str">
        <f>IF(ISERROR(FIND('112'!$M$9,G749,1)),"",IF((AND(LEFT(G749,2)=LEFT('112'!$M$9,2),B749&lt;'112'!$N$8,$L749='112'!$I$6)),"x",""))</f>
        <v/>
      </c>
      <c r="T749" s="55" t="str">
        <f>IF(ISERROR(FIND('112'!$M$9,G749,1)),"",IF((AND(RIGHT(G749,2)=RIGHT('112'!$M$9,2),B749&lt;'112'!$N$8,$M749='112'!$I$6)),"x",""))</f>
        <v/>
      </c>
      <c r="U749" s="55" t="str">
        <f>IF(AND('3411-CT'!$F$9=H749,OR(LEFT(L749,3)=$U$7,LEFT(M749,3)=$U$7)),"x","")</f>
        <v/>
      </c>
      <c r="V749" s="55" t="str">
        <f>IF(OR(TH!L749=TH!$V$7,M749=TH!$V$7),"x","")</f>
        <v/>
      </c>
      <c r="W749" s="55" t="str">
        <f>IF(AND(OR(L749="131",M749="131"),H749='131-CT'!$E$7),"x","")</f>
        <v/>
      </c>
      <c r="X749" s="55" t="str">
        <f>IF(AND(B749&gt;='IN-NX'!$P$3,B749&lt;='IN-NX'!$Q$3,'IN-NX'!$D$7=D749,OR(LEFT(TH!L749,2)="15",LEFT(TH!M749,2)="15")),"x","")</f>
        <v/>
      </c>
      <c r="Y749" s="55" t="str">
        <f>IF(AND(OR(LEFT(TH!L749,2)="15",LEFT(TH!M749,2)="15"),'152-CT'!$J$8=TH!F749),"x","")</f>
        <v/>
      </c>
      <c r="Z749" s="55" t="str">
        <f>IF(AND(OR(LEFT(TH!L749,2)="15",LEFT(TH!M749,2)="15"),TK!$E$7=TH!F749),"x","")</f>
        <v/>
      </c>
      <c r="AA749" s="55" t="str">
        <f>IF(AND(B749&lt;=NKC!$N$8,B749&gt;=NKC!$M$8),"x","")</f>
        <v/>
      </c>
    </row>
    <row r="750" spans="1:30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32"/>
        <v>8</v>
      </c>
      <c r="C750" s="37">
        <v>41142</v>
      </c>
      <c r="D750" s="205" t="s">
        <v>405</v>
      </c>
      <c r="E750" s="205">
        <v>41142</v>
      </c>
      <c r="F750" s="206" t="s">
        <v>407</v>
      </c>
      <c r="G750" s="581" t="s">
        <v>401</v>
      </c>
      <c r="H750" s="207"/>
      <c r="I750" s="277"/>
      <c r="J750" s="277"/>
      <c r="K750" s="38">
        <v>10000</v>
      </c>
      <c r="L750" s="208" t="s">
        <v>87</v>
      </c>
      <c r="M750" s="208" t="s">
        <v>24</v>
      </c>
      <c r="N750" s="55" t="str">
        <f>IF(AND('331-CT'!$E$7=TH!H750,OR(L750="331",M750="331")),"x","")</f>
        <v/>
      </c>
      <c r="O750" s="55" t="str">
        <f>IF(AND($B750&gt;='111'!$N$11,$B750&lt;='111'!$O$11,OR($L750=$O$7,$M750=$O$7)),"x","")</f>
        <v/>
      </c>
      <c r="P750" s="55" t="str">
        <f>IF(AND($L750=$O$7,$B750&lt;'111'!$N$11),"x","")</f>
        <v/>
      </c>
      <c r="Q750" s="55" t="str">
        <f>IF(AND($M750=$O$7,$B750&lt;'111'!$N$11),"x","")</f>
        <v/>
      </c>
      <c r="R750" s="55" t="str">
        <f>IF(ISERROR(FIND('112'!$M$9,G750,1)),"",IF((AND(FIND('112'!$M$9,G750,1)&gt;=1,$B750&gt;='112'!$N$8,$B750&lt;='112'!$O$8,OR($L750='112'!$I$6,$M750='112'!$I$6))),"x",""))</f>
        <v>x</v>
      </c>
      <c r="S750" s="55" t="str">
        <f>IF(ISERROR(FIND('112'!$M$9,G750,1)),"",IF((AND(LEFT(G750,2)=LEFT('112'!$M$9,2),B750&lt;'112'!$N$8,$L750='112'!$I$6)),"x",""))</f>
        <v/>
      </c>
      <c r="T750" s="55" t="str">
        <f>IF(ISERROR(FIND('112'!$M$9,G750,1)),"",IF((AND(RIGHT(G750,2)=RIGHT('112'!$M$9,2),B750&lt;'112'!$N$8,$M750='112'!$I$6)),"x",""))</f>
        <v/>
      </c>
      <c r="U750" s="55" t="str">
        <f>IF(AND('3411-CT'!$F$9=H750,OR(LEFT(L750,3)=$U$7,LEFT(M750,3)=$U$7)),"x","")</f>
        <v/>
      </c>
      <c r="V750" s="55" t="str">
        <f>IF(OR(TH!L750=TH!$V$7,M750=TH!$V$7),"x","")</f>
        <v/>
      </c>
      <c r="W750" s="55" t="str">
        <f>IF(AND(OR(L750="131",M750="131"),H750='131-CT'!$E$7),"x","")</f>
        <v/>
      </c>
      <c r="X750" s="55" t="str">
        <f>IF(AND(B750&gt;='IN-NX'!$P$3,B750&lt;='IN-NX'!$Q$3,'IN-NX'!$D$7=D750,OR(LEFT(TH!L750,2)="15",LEFT(TH!M750,2)="15")),"x","")</f>
        <v/>
      </c>
      <c r="Y750" s="55" t="str">
        <f>IF(AND(OR(LEFT(TH!L750,2)="15",LEFT(TH!M750,2)="15"),'152-CT'!$J$8=TH!F750),"x","")</f>
        <v/>
      </c>
      <c r="Z750" s="55" t="str">
        <f>IF(AND(OR(LEFT(TH!L750,2)="15",LEFT(TH!M750,2)="15"),TK!$E$7=TH!F750),"x","")</f>
        <v/>
      </c>
      <c r="AA750" s="55" t="str">
        <f>IF(AND(B750&lt;=NKC!$N$8,B750&gt;=NKC!$M$8),"x","")</f>
        <v/>
      </c>
    </row>
    <row r="751" spans="1:30" s="226" customFormat="1" ht="15.75" customHeight="1">
      <c r="A751" s="219" t="str">
        <f>IF(B751&lt;&gt;"",IF(AND(B751&gt;=_TM1,B751&lt;=_TM2,OR(TH!L751="1111",TH!M751="1111")),TH!D751,""),"")</f>
        <v/>
      </c>
      <c r="B751" s="36">
        <f t="shared" si="32"/>
        <v>8</v>
      </c>
      <c r="C751" s="37">
        <v>41143</v>
      </c>
      <c r="D751" s="205" t="s">
        <v>498</v>
      </c>
      <c r="E751" s="205">
        <v>41143</v>
      </c>
      <c r="F751" s="206" t="s">
        <v>1037</v>
      </c>
      <c r="G751" s="581" t="s">
        <v>1038</v>
      </c>
      <c r="H751" s="207" t="s">
        <v>456</v>
      </c>
      <c r="I751" s="277"/>
      <c r="J751" s="277"/>
      <c r="K751" s="38">
        <v>1240000</v>
      </c>
      <c r="L751" s="208" t="s">
        <v>194</v>
      </c>
      <c r="M751" s="208" t="s">
        <v>49</v>
      </c>
      <c r="N751" s="55" t="str">
        <f>IF(AND('331-CT'!$E$7=TH!H751,OR(L751="331",M751="331")),"x","")</f>
        <v/>
      </c>
      <c r="O751" s="55" t="str">
        <f>IF(AND($B751&gt;='111'!$N$11,$B751&lt;='111'!$O$11,OR($L751=$O$7,$M751=$O$7)),"x","")</f>
        <v/>
      </c>
      <c r="P751" s="55" t="str">
        <f>IF(AND($L751=$O$7,$B751&lt;'111'!$N$11),"x","")</f>
        <v/>
      </c>
      <c r="Q751" s="55" t="str">
        <f>IF(AND($M751=$O$7,$B751&lt;'111'!$N$11),"x","")</f>
        <v>x</v>
      </c>
      <c r="R751" s="55" t="str">
        <f>IF(ISERROR(FIND('112'!$M$9,G751,1)),"",IF((AND(FIND('112'!$M$9,G751,1)&gt;=1,$B751&gt;='112'!$N$8,$B751&lt;='112'!$O$8,OR($L751='112'!$I$6,$M751='112'!$I$6))),"x",""))</f>
        <v/>
      </c>
      <c r="S751" s="55" t="str">
        <f>IF(ISERROR(FIND('112'!$M$9,G751,1)),"",IF((AND(LEFT(G751,2)=LEFT('112'!$M$9,2),B751&lt;'112'!$N$8,$L751='112'!$I$6)),"x",""))</f>
        <v/>
      </c>
      <c r="T751" s="55" t="str">
        <f>IF(ISERROR(FIND('112'!$M$9,G751,1)),"",IF((AND(RIGHT(G751,2)=RIGHT('112'!$M$9,2),B751&lt;'112'!$N$8,$M751='112'!$I$6)),"x",""))</f>
        <v/>
      </c>
      <c r="U751" s="55" t="str">
        <f>IF(AND('3411-CT'!$F$9=H751,OR(LEFT(L751,3)=$U$7,LEFT(M751,3)=$U$7)),"x","")</f>
        <v/>
      </c>
      <c r="V751" s="55" t="str">
        <f>IF(OR(TH!L751=TH!$V$7,M751=TH!$V$7),"x","")</f>
        <v/>
      </c>
      <c r="W751" s="55" t="str">
        <f>IF(AND(OR(L751="131",M751="131"),H751='131-CT'!$E$7),"x","")</f>
        <v/>
      </c>
      <c r="X751" s="55" t="str">
        <f>IF(AND(B751&gt;='IN-NX'!$P$3,B751&lt;='IN-NX'!$Q$3,'IN-NX'!$D$7=D751,OR(LEFT(TH!L751,2)="15",LEFT(TH!M751,2)="15")),"x","")</f>
        <v/>
      </c>
      <c r="Y751" s="55" t="str">
        <f>IF(AND(OR(LEFT(TH!L751,2)="15",LEFT(TH!M751,2)="15"),'152-CT'!$J$8=TH!F751),"x","")</f>
        <v/>
      </c>
      <c r="Z751" s="55" t="str">
        <f>IF(AND(OR(LEFT(TH!L751,2)="15",LEFT(TH!M751,2)="15"),TK!$E$7=TH!F751),"x","")</f>
        <v/>
      </c>
      <c r="AA751" s="55" t="str">
        <f>IF(AND(B751&lt;=NKC!$N$8,B751&gt;=NKC!$M$8),"x","")</f>
        <v/>
      </c>
    </row>
    <row r="752" spans="1:30" s="226" customFormat="1" ht="15.75" customHeight="1">
      <c r="A752" s="219" t="str">
        <f>IF(B752&lt;&gt;"",IF(AND(B752&gt;=_TM1,B752&lt;=_TM2,OR(TH!L752="1111",TH!M752="1111")),TH!D752,""),"")</f>
        <v/>
      </c>
      <c r="B752" s="36">
        <f t="shared" si="32"/>
        <v>8</v>
      </c>
      <c r="C752" s="37">
        <v>41143</v>
      </c>
      <c r="D752" s="205" t="s">
        <v>498</v>
      </c>
      <c r="E752" s="205">
        <v>41143</v>
      </c>
      <c r="F752" s="206" t="s">
        <v>413</v>
      </c>
      <c r="G752" s="581" t="s">
        <v>1038</v>
      </c>
      <c r="H752" s="207" t="s">
        <v>456</v>
      </c>
      <c r="I752" s="277"/>
      <c r="J752" s="277"/>
      <c r="K752" s="38">
        <v>124000</v>
      </c>
      <c r="L752" s="208" t="s">
        <v>9</v>
      </c>
      <c r="M752" s="208" t="s">
        <v>49</v>
      </c>
      <c r="N752" s="55" t="str">
        <f>IF(AND('331-CT'!$E$7=TH!H752,OR(L752="331",M752="331")),"x","")</f>
        <v/>
      </c>
      <c r="O752" s="55" t="str">
        <f>IF(AND($B752&gt;='111'!$N$11,$B752&lt;='111'!$O$11,OR($L752=$O$7,$M752=$O$7)),"x","")</f>
        <v/>
      </c>
      <c r="P752" s="55" t="str">
        <f>IF(AND($L752=$O$7,$B752&lt;'111'!$N$11),"x","")</f>
        <v/>
      </c>
      <c r="Q752" s="55" t="str">
        <f>IF(AND($M752=$O$7,$B752&lt;'111'!$N$11),"x","")</f>
        <v>x</v>
      </c>
      <c r="R752" s="55" t="str">
        <f>IF(ISERROR(FIND('112'!$M$9,G752,1)),"",IF((AND(FIND('112'!$M$9,G752,1)&gt;=1,$B752&gt;='112'!$N$8,$B752&lt;='112'!$O$8,OR($L752='112'!$I$6,$M752='112'!$I$6))),"x",""))</f>
        <v/>
      </c>
      <c r="S752" s="55" t="str">
        <f>IF(ISERROR(FIND('112'!$M$9,G752,1)),"",IF((AND(LEFT(G752,2)=LEFT('112'!$M$9,2),B752&lt;'112'!$N$8,$L752='112'!$I$6)),"x",""))</f>
        <v/>
      </c>
      <c r="T752" s="55" t="str">
        <f>IF(ISERROR(FIND('112'!$M$9,G752,1)),"",IF((AND(RIGHT(G752,2)=RIGHT('112'!$M$9,2),B752&lt;'112'!$N$8,$M752='112'!$I$6)),"x",""))</f>
        <v/>
      </c>
      <c r="U752" s="55" t="str">
        <f>IF(AND('3411-CT'!$F$9=H752,OR(LEFT(L752,3)=$U$7,LEFT(M752,3)=$U$7)),"x","")</f>
        <v/>
      </c>
      <c r="V752" s="55" t="str">
        <f>IF(OR(TH!L752=TH!$V$7,M752=TH!$V$7),"x","")</f>
        <v/>
      </c>
      <c r="W752" s="55" t="str">
        <f>IF(AND(OR(L752="131",M752="131"),H752='131-CT'!$E$7),"x","")</f>
        <v/>
      </c>
      <c r="X752" s="55" t="str">
        <f>IF(AND(B752&gt;='IN-NX'!$P$3,B752&lt;='IN-NX'!$Q$3,'IN-NX'!$D$7=D752,OR(LEFT(TH!L752,2)="15",LEFT(TH!M752,2)="15")),"x","")</f>
        <v/>
      </c>
      <c r="Y752" s="55" t="str">
        <f>IF(AND(OR(LEFT(TH!L752,2)="15",LEFT(TH!M752,2)="15"),'152-CT'!$J$8=TH!F752),"x","")</f>
        <v/>
      </c>
      <c r="Z752" s="55" t="str">
        <f>IF(AND(OR(LEFT(TH!L752,2)="15",LEFT(TH!M752,2)="15"),TK!$E$7=TH!F752),"x","")</f>
        <v/>
      </c>
      <c r="AA752" s="55" t="str">
        <f>IF(AND(B752&lt;=NKC!$N$8,B752&gt;=NKC!$M$8),"x","")</f>
        <v/>
      </c>
    </row>
    <row r="753" spans="1:29" s="226" customFormat="1" ht="15.75" customHeight="1">
      <c r="A753" s="219" t="str">
        <f>IF(B753&lt;&gt;"",IF(AND(B753&gt;=_TM1,B753&lt;=_TM2,OR(TH!L753="1111",TH!M753="1111")),TH!D753,""),"")</f>
        <v/>
      </c>
      <c r="B753" s="36">
        <f t="shared" si="32"/>
        <v>8</v>
      </c>
      <c r="C753" s="37">
        <v>41144</v>
      </c>
      <c r="D753" s="205" t="s">
        <v>536</v>
      </c>
      <c r="E753" s="205">
        <v>41144</v>
      </c>
      <c r="F753" s="206" t="s">
        <v>962</v>
      </c>
      <c r="G753" s="581" t="s">
        <v>1039</v>
      </c>
      <c r="H753" s="7" t="s">
        <v>487</v>
      </c>
      <c r="I753" s="277">
        <v>500</v>
      </c>
      <c r="J753" s="277">
        <v>13999</v>
      </c>
      <c r="K753" s="38">
        <v>6999500</v>
      </c>
      <c r="L753" s="208" t="s">
        <v>186</v>
      </c>
      <c r="M753" s="699" t="s">
        <v>8</v>
      </c>
      <c r="N753" s="55" t="str">
        <f>IF(AND('331-CT'!$E$7=TH!H753,OR(L753="331",M753="331")),"x","")</f>
        <v/>
      </c>
      <c r="O753" s="55" t="str">
        <f>IF(AND($B753&gt;='111'!$N$11,$B753&lt;='111'!$O$11,OR($L753=$O$7,$M753=$O$7)),"x","")</f>
        <v/>
      </c>
      <c r="P753" s="55" t="str">
        <f>IF(AND($L753=$O$7,$B753&lt;'111'!$N$11),"x","")</f>
        <v/>
      </c>
      <c r="Q753" s="55" t="str">
        <f>IF(AND($M753=$O$7,$B753&lt;'111'!$N$11),"x","")</f>
        <v/>
      </c>
      <c r="R753" s="55" t="str">
        <f>IF(ISERROR(FIND('112'!$M$9,G753,1)),"",IF((AND(FIND('112'!$M$9,G753,1)&gt;=1,$B753&gt;='112'!$N$8,$B753&lt;='112'!$O$8,OR($L753='112'!$I$6,$M753='112'!$I$6))),"x",""))</f>
        <v/>
      </c>
      <c r="S753" s="55" t="str">
        <f>IF(ISERROR(FIND('112'!$M$9,G753,1)),"",IF((AND(LEFT(G753,2)=LEFT('112'!$M$9,2),B753&lt;'112'!$N$8,$L753='112'!$I$6)),"x",""))</f>
        <v/>
      </c>
      <c r="T753" s="55" t="str">
        <f>IF(ISERROR(FIND('112'!$M$9,G753,1)),"",IF((AND(RIGHT(G753,2)=RIGHT('112'!$M$9,2),B753&lt;'112'!$N$8,$M753='112'!$I$6)),"x",""))</f>
        <v/>
      </c>
      <c r="U753" s="55" t="str">
        <f>IF(AND('3411-CT'!$F$9=H753,OR(LEFT(L753,3)=$U$7,LEFT(M753,3)=$U$7)),"x","")</f>
        <v/>
      </c>
      <c r="V753" s="55" t="str">
        <f>IF(OR(TH!L753=TH!$V$7,M753=TH!$V$7),"x","")</f>
        <v/>
      </c>
      <c r="W753" s="55" t="str">
        <f>IF(AND(OR(L753="131",M753="131"),H753='131-CT'!$E$7),"x","")</f>
        <v/>
      </c>
      <c r="X753" s="55" t="str">
        <f>IF(AND(B753&gt;='IN-NX'!$P$3,B753&lt;='IN-NX'!$Q$3,'IN-NX'!$D$7=D753,OR(LEFT(TH!L753,2)="15",LEFT(TH!M753,2)="15")),"x","")</f>
        <v/>
      </c>
      <c r="Y753" s="55" t="str">
        <f>IF(AND(OR(LEFT(TH!L753,2)="15",LEFT(TH!M753,2)="15"),'152-CT'!$J$8=TH!F753),"x","")</f>
        <v/>
      </c>
      <c r="Z753" s="55" t="str">
        <f>IF(AND(OR(LEFT(TH!L753,2)="15",LEFT(TH!M753,2)="15"),TK!$E$7=TH!F753),"x","")</f>
        <v/>
      </c>
      <c r="AA753" s="55" t="str">
        <f>IF(AND(B753&lt;=NKC!$N$8,B753&gt;=NKC!$M$8),"x","")</f>
        <v/>
      </c>
      <c r="AC753" s="226" t="str">
        <f>IF(ISNA(VLOOKUP(F753,NXT!$C$18:$C$347,1,0)),x,"")</f>
        <v/>
      </c>
    </row>
    <row r="754" spans="1:29" s="226" customFormat="1" ht="15.75" customHeight="1">
      <c r="A754" s="219" t="str">
        <f>IF(B754&lt;&gt;"",IF(AND(B754&gt;=_TM1,B754&lt;=_TM2,OR(TH!L754="1111",TH!M754="1111")),TH!D754,""),"")</f>
        <v/>
      </c>
      <c r="B754" s="36">
        <f t="shared" si="32"/>
        <v>8</v>
      </c>
      <c r="C754" s="37">
        <v>41144</v>
      </c>
      <c r="D754" s="205" t="s">
        <v>536</v>
      </c>
      <c r="E754" s="205">
        <v>41144</v>
      </c>
      <c r="F754" s="206" t="s">
        <v>1000</v>
      </c>
      <c r="G754" s="581" t="s">
        <v>1039</v>
      </c>
      <c r="H754" s="7" t="s">
        <v>487</v>
      </c>
      <c r="I754" s="277">
        <v>1000</v>
      </c>
      <c r="J754" s="277">
        <v>34944</v>
      </c>
      <c r="K754" s="38">
        <v>34944000</v>
      </c>
      <c r="L754" s="208" t="s">
        <v>186</v>
      </c>
      <c r="M754" s="699" t="s">
        <v>8</v>
      </c>
      <c r="N754" s="55" t="str">
        <f>IF(AND('331-CT'!$E$7=TH!H754,OR(L754="331",M754="331")),"x","")</f>
        <v/>
      </c>
      <c r="O754" s="55" t="str">
        <f>IF(AND($B754&gt;='111'!$N$11,$B754&lt;='111'!$O$11,OR($L754=$O$7,$M754=$O$7)),"x","")</f>
        <v/>
      </c>
      <c r="P754" s="55" t="str">
        <f>IF(AND($L754=$O$7,$B754&lt;'111'!$N$11),"x","")</f>
        <v/>
      </c>
      <c r="Q754" s="55" t="str">
        <f>IF(AND($M754=$O$7,$B754&lt;'111'!$N$11),"x","")</f>
        <v/>
      </c>
      <c r="R754" s="55" t="str">
        <f>IF(ISERROR(FIND('112'!$M$9,G754,1)),"",IF((AND(FIND('112'!$M$9,G754,1)&gt;=1,$B754&gt;='112'!$N$8,$B754&lt;='112'!$O$8,OR($L754='112'!$I$6,$M754='112'!$I$6))),"x",""))</f>
        <v/>
      </c>
      <c r="S754" s="55" t="str">
        <f>IF(ISERROR(FIND('112'!$M$9,G754,1)),"",IF((AND(LEFT(G754,2)=LEFT('112'!$M$9,2),B754&lt;'112'!$N$8,$L754='112'!$I$6)),"x",""))</f>
        <v/>
      </c>
      <c r="T754" s="55" t="str">
        <f>IF(ISERROR(FIND('112'!$M$9,G754,1)),"",IF((AND(RIGHT(G754,2)=RIGHT('112'!$M$9,2),B754&lt;'112'!$N$8,$M754='112'!$I$6)),"x",""))</f>
        <v/>
      </c>
      <c r="U754" s="55" t="str">
        <f>IF(AND('3411-CT'!$F$9=H754,OR(LEFT(L754,3)=$U$7,LEFT(M754,3)=$U$7)),"x","")</f>
        <v/>
      </c>
      <c r="V754" s="55" t="str">
        <f>IF(OR(TH!L754=TH!$V$7,M754=TH!$V$7),"x","")</f>
        <v/>
      </c>
      <c r="W754" s="55" t="str">
        <f>IF(AND(OR(L754="131",M754="131"),H754='131-CT'!$E$7),"x","")</f>
        <v/>
      </c>
      <c r="X754" s="55" t="str">
        <f>IF(AND(B754&gt;='IN-NX'!$P$3,B754&lt;='IN-NX'!$Q$3,'IN-NX'!$D$7=D754,OR(LEFT(TH!L754,2)="15",LEFT(TH!M754,2)="15")),"x","")</f>
        <v/>
      </c>
      <c r="Y754" s="55" t="str">
        <f>IF(AND(OR(LEFT(TH!L754,2)="15",LEFT(TH!M754,2)="15"),'152-CT'!$J$8=TH!F754),"x","")</f>
        <v/>
      </c>
      <c r="Z754" s="55" t="str">
        <f>IF(AND(OR(LEFT(TH!L754,2)="15",LEFT(TH!M754,2)="15"),TK!$E$7=TH!F754),"x","")</f>
        <v/>
      </c>
      <c r="AA754" s="55" t="str">
        <f>IF(AND(B754&lt;=NKC!$N$8,B754&gt;=NKC!$M$8),"x","")</f>
        <v/>
      </c>
      <c r="AC754" s="226" t="str">
        <f>IF(ISNA(VLOOKUP(F754,NXT!$C$18:$C$347,1,0)),x,"")</f>
        <v/>
      </c>
    </row>
    <row r="755" spans="1:29" s="226" customFormat="1" ht="15.75" customHeight="1">
      <c r="A755" s="219" t="str">
        <f>IF(B755&lt;&gt;"",IF(AND(B755&gt;=_TM1,B755&lt;=_TM2,OR(TH!L755="1111",TH!M755="1111")),TH!D755,""),"")</f>
        <v/>
      </c>
      <c r="B755" s="36">
        <f t="shared" si="32"/>
        <v>8</v>
      </c>
      <c r="C755" s="37">
        <v>41144</v>
      </c>
      <c r="D755" s="205" t="s">
        <v>536</v>
      </c>
      <c r="E755" s="205">
        <v>41144</v>
      </c>
      <c r="F755" s="206" t="s">
        <v>793</v>
      </c>
      <c r="G755" s="581" t="s">
        <v>1039</v>
      </c>
      <c r="H755" s="7" t="s">
        <v>487</v>
      </c>
      <c r="I755" s="277">
        <v>1000</v>
      </c>
      <c r="J755" s="277">
        <v>18306</v>
      </c>
      <c r="K755" s="38">
        <v>18306000</v>
      </c>
      <c r="L755" s="208" t="s">
        <v>186</v>
      </c>
      <c r="M755" s="699" t="s">
        <v>8</v>
      </c>
      <c r="N755" s="55" t="str">
        <f>IF(AND('331-CT'!$E$7=TH!H755,OR(L755="331",M755="331")),"x","")</f>
        <v/>
      </c>
      <c r="O755" s="55" t="str">
        <f>IF(AND($B755&gt;='111'!$N$11,$B755&lt;='111'!$O$11,OR($L755=$O$7,$M755=$O$7)),"x","")</f>
        <v/>
      </c>
      <c r="P755" s="55" t="str">
        <f>IF(AND($L755=$O$7,$B755&lt;'111'!$N$11),"x","")</f>
        <v/>
      </c>
      <c r="Q755" s="55" t="str">
        <f>IF(AND($M755=$O$7,$B755&lt;'111'!$N$11),"x","")</f>
        <v/>
      </c>
      <c r="R755" s="55" t="str">
        <f>IF(ISERROR(FIND('112'!$M$9,G755,1)),"",IF((AND(FIND('112'!$M$9,G755,1)&gt;=1,$B755&gt;='112'!$N$8,$B755&lt;='112'!$O$8,OR($L755='112'!$I$6,$M755='112'!$I$6))),"x",""))</f>
        <v/>
      </c>
      <c r="S755" s="55" t="str">
        <f>IF(ISERROR(FIND('112'!$M$9,G755,1)),"",IF((AND(LEFT(G755,2)=LEFT('112'!$M$9,2),B755&lt;'112'!$N$8,$L755='112'!$I$6)),"x",""))</f>
        <v/>
      </c>
      <c r="T755" s="55" t="str">
        <f>IF(ISERROR(FIND('112'!$M$9,G755,1)),"",IF((AND(RIGHT(G755,2)=RIGHT('112'!$M$9,2),B755&lt;'112'!$N$8,$M755='112'!$I$6)),"x",""))</f>
        <v/>
      </c>
      <c r="U755" s="55" t="str">
        <f>IF(AND('3411-CT'!$F$9=H755,OR(LEFT(L755,3)=$U$7,LEFT(M755,3)=$U$7)),"x","")</f>
        <v/>
      </c>
      <c r="V755" s="55" t="str">
        <f>IF(OR(TH!L755=TH!$V$7,M755=TH!$V$7),"x","")</f>
        <v/>
      </c>
      <c r="W755" s="55" t="str">
        <f>IF(AND(OR(L755="131",M755="131"),H755='131-CT'!$E$7),"x","")</f>
        <v/>
      </c>
      <c r="X755" s="55" t="str">
        <f>IF(AND(B755&gt;='IN-NX'!$P$3,B755&lt;='IN-NX'!$Q$3,'IN-NX'!$D$7=D755,OR(LEFT(TH!L755,2)="15",LEFT(TH!M755,2)="15")),"x","")</f>
        <v/>
      </c>
      <c r="Y755" s="55" t="str">
        <f>IF(AND(OR(LEFT(TH!L755,2)="15",LEFT(TH!M755,2)="15"),'152-CT'!$J$8=TH!F755),"x","")</f>
        <v/>
      </c>
      <c r="Z755" s="55" t="str">
        <f>IF(AND(OR(LEFT(TH!L755,2)="15",LEFT(TH!M755,2)="15"),TK!$E$7=TH!F755),"x","")</f>
        <v/>
      </c>
      <c r="AA755" s="55" t="str">
        <f>IF(AND(B755&lt;=NKC!$N$8,B755&gt;=NKC!$M$8),"x","")</f>
        <v/>
      </c>
      <c r="AC755" s="226" t="str">
        <f>IF(ISNA(VLOOKUP(F755,NXT!$C$18:$C$347,1,0)),x,"")</f>
        <v/>
      </c>
    </row>
    <row r="756" spans="1:29" s="226" customFormat="1" ht="15.75" customHeight="1">
      <c r="A756" s="219" t="str">
        <f>IF(B756&lt;&gt;"",IF(AND(B756&gt;=_TM1,B756&lt;=_TM2,OR(TH!L756="1111",TH!M756="1111")),TH!D756,""),"")</f>
        <v/>
      </c>
      <c r="B756" s="36">
        <f t="shared" si="32"/>
        <v>8</v>
      </c>
      <c r="C756" s="37">
        <v>41144</v>
      </c>
      <c r="D756" s="205" t="s">
        <v>536</v>
      </c>
      <c r="E756" s="37">
        <v>41144</v>
      </c>
      <c r="F756" s="40" t="s">
        <v>573</v>
      </c>
      <c r="G756" s="580" t="s">
        <v>1039</v>
      </c>
      <c r="H756" s="7" t="s">
        <v>487</v>
      </c>
      <c r="I756" s="277"/>
      <c r="J756" s="277"/>
      <c r="K756" s="38">
        <v>6024950</v>
      </c>
      <c r="L756" s="39" t="s">
        <v>9</v>
      </c>
      <c r="M756" s="699" t="s">
        <v>8</v>
      </c>
      <c r="N756" s="55" t="str">
        <f>IF(AND('331-CT'!$E$7=TH!H756,OR(L756="331",M756="331")),"x","")</f>
        <v/>
      </c>
      <c r="O756" s="55" t="str">
        <f>IF(AND($B756&gt;='111'!$N$11,$B756&lt;='111'!$O$11,OR($L756=$O$7,$M756=$O$7)),"x","")</f>
        <v/>
      </c>
      <c r="P756" s="55" t="str">
        <f>IF(AND($L756=$O$7,$B756&lt;'111'!$N$11),"x","")</f>
        <v/>
      </c>
      <c r="Q756" s="55" t="str">
        <f>IF(AND($M756=$O$7,$B756&lt;'111'!$N$11),"x","")</f>
        <v/>
      </c>
      <c r="R756" s="55" t="str">
        <f>IF(ISERROR(FIND('112'!$M$9,G756,1)),"",IF((AND(FIND('112'!$M$9,G756,1)&gt;=1,$B756&gt;='112'!$N$8,$B756&lt;='112'!$O$8,OR($L756='112'!$I$6,$M756='112'!$I$6))),"x",""))</f>
        <v/>
      </c>
      <c r="S756" s="55" t="str">
        <f>IF(ISERROR(FIND('112'!$M$9,G756,1)),"",IF((AND(LEFT(G756,2)=LEFT('112'!$M$9,2),B756&lt;'112'!$N$8,$L756='112'!$I$6)),"x",""))</f>
        <v/>
      </c>
      <c r="T756" s="55" t="str">
        <f>IF(ISERROR(FIND('112'!$M$9,G756,1)),"",IF((AND(RIGHT(G756,2)=RIGHT('112'!$M$9,2),B756&lt;'112'!$N$8,$M756='112'!$I$6)),"x",""))</f>
        <v/>
      </c>
      <c r="U756" s="55" t="str">
        <f>IF(AND('3411-CT'!$F$9=H756,OR(LEFT(L756,3)=$U$7,LEFT(M756,3)=$U$7)),"x","")</f>
        <v/>
      </c>
      <c r="V756" s="55" t="str">
        <f>IF(OR(TH!L756=TH!$V$7,M756=TH!$V$7),"x","")</f>
        <v/>
      </c>
      <c r="W756" s="55" t="str">
        <f>IF(AND(OR(L756="131",M756="131"),H756='131-CT'!$E$7),"x","")</f>
        <v/>
      </c>
      <c r="X756" s="55" t="str">
        <f>IF(AND(B756&gt;='IN-NX'!$P$3,B756&lt;='IN-NX'!$Q$3,'IN-NX'!$D$7=D756,OR(LEFT(TH!L756,2)="15",LEFT(TH!M756,2)="15")),"x","")</f>
        <v/>
      </c>
      <c r="Y756" s="55" t="str">
        <f>IF(AND(OR(LEFT(TH!L756,2)="15",LEFT(TH!M756,2)="15"),'152-CT'!$J$8=TH!F756),"x","")</f>
        <v/>
      </c>
      <c r="Z756" s="55" t="str">
        <f>IF(AND(OR(LEFT(TH!L756,2)="15",LEFT(TH!M756,2)="15"),TK!$E$7=TH!F756),"x","")</f>
        <v/>
      </c>
      <c r="AA756" s="55" t="str">
        <f>IF(AND(B756&lt;=NKC!$N$8,B756&gt;=NKC!$M$8),"x","")</f>
        <v/>
      </c>
    </row>
    <row r="757" spans="1:29" s="226" customFormat="1" ht="15.75" customHeight="1">
      <c r="A757" s="219" t="str">
        <f>IF(B757&lt;&gt;"",IF(AND(B757&gt;=_TM1,B757&lt;=_TM2,OR(TH!L757="1111",TH!M757="1111")),TH!D757,""),"")</f>
        <v/>
      </c>
      <c r="B757" s="36">
        <f t="shared" si="32"/>
        <v>8</v>
      </c>
      <c r="C757" s="37">
        <v>41145</v>
      </c>
      <c r="D757" s="205" t="s">
        <v>537</v>
      </c>
      <c r="E757" s="37">
        <v>41145</v>
      </c>
      <c r="F757" s="40" t="s">
        <v>780</v>
      </c>
      <c r="G757" s="580" t="s">
        <v>1040</v>
      </c>
      <c r="H757" s="7" t="s">
        <v>487</v>
      </c>
      <c r="I757" s="277">
        <v>2000</v>
      </c>
      <c r="J757" s="277">
        <v>23149</v>
      </c>
      <c r="K757" s="38">
        <v>46298000</v>
      </c>
      <c r="L757" s="208" t="s">
        <v>186</v>
      </c>
      <c r="M757" s="699" t="s">
        <v>8</v>
      </c>
      <c r="N757" s="55" t="str">
        <f>IF(AND('331-CT'!$E$7=TH!H757,OR(L757="331",M757="331")),"x","")</f>
        <v/>
      </c>
      <c r="O757" s="55" t="str">
        <f>IF(AND($B757&gt;='111'!$N$11,$B757&lt;='111'!$O$11,OR($L757=$O$7,$M757=$O$7)),"x","")</f>
        <v/>
      </c>
      <c r="P757" s="55" t="str">
        <f>IF(AND($L757=$O$7,$B757&lt;'111'!$N$11),"x","")</f>
        <v/>
      </c>
      <c r="Q757" s="55" t="str">
        <f>IF(AND($M757=$O$7,$B757&lt;'111'!$N$11),"x","")</f>
        <v/>
      </c>
      <c r="R757" s="55" t="str">
        <f>IF(ISERROR(FIND('112'!$M$9,G757,1)),"",IF((AND(FIND('112'!$M$9,G757,1)&gt;=1,$B757&gt;='112'!$N$8,$B757&lt;='112'!$O$8,OR($L757='112'!$I$6,$M757='112'!$I$6))),"x",""))</f>
        <v/>
      </c>
      <c r="S757" s="55" t="str">
        <f>IF(ISERROR(FIND('112'!$M$9,G757,1)),"",IF((AND(LEFT(G757,2)=LEFT('112'!$M$9,2),B757&lt;'112'!$N$8,$L757='112'!$I$6)),"x",""))</f>
        <v/>
      </c>
      <c r="T757" s="55" t="str">
        <f>IF(ISERROR(FIND('112'!$M$9,G757,1)),"",IF((AND(RIGHT(G757,2)=RIGHT('112'!$M$9,2),B757&lt;'112'!$N$8,$M757='112'!$I$6)),"x",""))</f>
        <v/>
      </c>
      <c r="U757" s="55" t="str">
        <f>IF(AND('3411-CT'!$F$9=H757,OR(LEFT(L757,3)=$U$7,LEFT(M757,3)=$U$7)),"x","")</f>
        <v/>
      </c>
      <c r="V757" s="55" t="str">
        <f>IF(OR(TH!L757=TH!$V$7,M757=TH!$V$7),"x","")</f>
        <v/>
      </c>
      <c r="W757" s="55" t="str">
        <f>IF(AND(OR(L757="131",M757="131"),H757='131-CT'!$E$7),"x","")</f>
        <v/>
      </c>
      <c r="X757" s="55" t="str">
        <f>IF(AND(B757&gt;='IN-NX'!$P$3,B757&lt;='IN-NX'!$Q$3,'IN-NX'!$D$7=D757,OR(LEFT(TH!L757,2)="15",LEFT(TH!M757,2)="15")),"x","")</f>
        <v/>
      </c>
      <c r="Y757" s="55" t="str">
        <f>IF(AND(OR(LEFT(TH!L757,2)="15",LEFT(TH!M757,2)="15"),'152-CT'!$J$8=TH!F757),"x","")</f>
        <v/>
      </c>
      <c r="Z757" s="55" t="str">
        <f>IF(AND(OR(LEFT(TH!L757,2)="15",LEFT(TH!M757,2)="15"),TK!$E$7=TH!F757),"x","")</f>
        <v/>
      </c>
      <c r="AA757" s="55" t="str">
        <f>IF(AND(B757&lt;=NKC!$N$8,B757&gt;=NKC!$M$8),"x","")</f>
        <v/>
      </c>
      <c r="AC757" s="226" t="str">
        <f>IF(ISNA(VLOOKUP(F757,NXT!$C$18:$C$347,1,0)),x,"")</f>
        <v/>
      </c>
    </row>
    <row r="758" spans="1:29" s="226" customFormat="1" ht="15.75" customHeight="1">
      <c r="A758" s="219" t="str">
        <f>IF(B758&lt;&gt;"",IF(AND(B758&gt;=_TM1,B758&lt;=_TM2,OR(TH!L758="1111",TH!M758="1111")),TH!D758,""),"")</f>
        <v/>
      </c>
      <c r="B758" s="36">
        <f t="shared" si="32"/>
        <v>8</v>
      </c>
      <c r="C758" s="37">
        <v>41145</v>
      </c>
      <c r="D758" s="205" t="s">
        <v>537</v>
      </c>
      <c r="E758" s="37">
        <v>41145</v>
      </c>
      <c r="F758" s="40" t="s">
        <v>573</v>
      </c>
      <c r="G758" s="580" t="s">
        <v>1040</v>
      </c>
      <c r="H758" s="7" t="s">
        <v>487</v>
      </c>
      <c r="I758" s="277"/>
      <c r="J758" s="277"/>
      <c r="K758" s="38">
        <v>4629800</v>
      </c>
      <c r="L758" s="39" t="s">
        <v>9</v>
      </c>
      <c r="M758" s="699" t="s">
        <v>8</v>
      </c>
      <c r="N758" s="55" t="str">
        <f>IF(AND('331-CT'!$E$7=TH!H758,OR(L758="331",M758="331")),"x","")</f>
        <v/>
      </c>
      <c r="O758" s="55" t="str">
        <f>IF(AND($B758&gt;='111'!$N$11,$B758&lt;='111'!$O$11,OR($L758=$O$7,$M758=$O$7)),"x","")</f>
        <v/>
      </c>
      <c r="P758" s="55" t="str">
        <f>IF(AND($L758=$O$7,$B758&lt;'111'!$N$11),"x","")</f>
        <v/>
      </c>
      <c r="Q758" s="55" t="str">
        <f>IF(AND($M758=$O$7,$B758&lt;'111'!$N$11),"x","")</f>
        <v/>
      </c>
      <c r="R758" s="55" t="str">
        <f>IF(ISERROR(FIND('112'!$M$9,G758,1)),"",IF((AND(FIND('112'!$M$9,G758,1)&gt;=1,$B758&gt;='112'!$N$8,$B758&lt;='112'!$O$8,OR($L758='112'!$I$6,$M758='112'!$I$6))),"x",""))</f>
        <v/>
      </c>
      <c r="S758" s="55" t="str">
        <f>IF(ISERROR(FIND('112'!$M$9,G758,1)),"",IF((AND(LEFT(G758,2)=LEFT('112'!$M$9,2),B758&lt;'112'!$N$8,$L758='112'!$I$6)),"x",""))</f>
        <v/>
      </c>
      <c r="T758" s="55" t="str">
        <f>IF(ISERROR(FIND('112'!$M$9,G758,1)),"",IF((AND(RIGHT(G758,2)=RIGHT('112'!$M$9,2),B758&lt;'112'!$N$8,$M758='112'!$I$6)),"x",""))</f>
        <v/>
      </c>
      <c r="U758" s="55" t="str">
        <f>IF(AND('3411-CT'!$F$9=H758,OR(LEFT(L758,3)=$U$7,LEFT(M758,3)=$U$7)),"x","")</f>
        <v/>
      </c>
      <c r="V758" s="55" t="str">
        <f>IF(OR(TH!L758=TH!$V$7,M758=TH!$V$7),"x","")</f>
        <v/>
      </c>
      <c r="W758" s="55" t="str">
        <f>IF(AND(OR(L758="131",M758="131"),H758='131-CT'!$E$7),"x","")</f>
        <v/>
      </c>
      <c r="X758" s="55" t="str">
        <f>IF(AND(B758&gt;='IN-NX'!$P$3,B758&lt;='IN-NX'!$Q$3,'IN-NX'!$D$7=D758,OR(LEFT(TH!L758,2)="15",LEFT(TH!M758,2)="15")),"x","")</f>
        <v/>
      </c>
      <c r="Y758" s="55" t="str">
        <f>IF(AND(OR(LEFT(TH!L758,2)="15",LEFT(TH!M758,2)="15"),'152-CT'!$J$8=TH!F758),"x","")</f>
        <v/>
      </c>
      <c r="Z758" s="55" t="str">
        <f>IF(AND(OR(LEFT(TH!L758,2)="15",LEFT(TH!M758,2)="15"),TK!$E$7=TH!F758),"x","")</f>
        <v/>
      </c>
      <c r="AA758" s="55" t="str">
        <f>IF(AND(B758&lt;=NKC!$N$8,B758&gt;=NKC!$M$8),"x","")</f>
        <v/>
      </c>
    </row>
    <row r="759" spans="1:29" s="226" customFormat="1" ht="15.75" customHeight="1">
      <c r="A759" s="219" t="str">
        <f>IF(B759&lt;&gt;"",IF(AND(B759&gt;=_TM1,B759&lt;=_TM2,OR(TH!L759="1111",TH!M759="1111")),TH!D759,""),"")</f>
        <v/>
      </c>
      <c r="B759" s="36">
        <f t="shared" si="32"/>
        <v>8</v>
      </c>
      <c r="C759" s="37">
        <v>41146</v>
      </c>
      <c r="D759" s="205" t="s">
        <v>404</v>
      </c>
      <c r="E759" s="37">
        <v>41146</v>
      </c>
      <c r="F759" s="40" t="s">
        <v>453</v>
      </c>
      <c r="G759" s="580" t="s">
        <v>401</v>
      </c>
      <c r="H759" s="47"/>
      <c r="I759" s="277"/>
      <c r="J759" s="277"/>
      <c r="K759" s="38">
        <v>39945</v>
      </c>
      <c r="L759" s="39" t="s">
        <v>24</v>
      </c>
      <c r="M759" s="208" t="s">
        <v>41</v>
      </c>
      <c r="N759" s="55" t="str">
        <f>IF(AND('331-CT'!$E$7=TH!H759,OR(L759="331",M759="331")),"x","")</f>
        <v/>
      </c>
      <c r="O759" s="55" t="str">
        <f>IF(AND($B759&gt;='111'!$N$11,$B759&lt;='111'!$O$11,OR($L759=$O$7,$M759=$O$7)),"x","")</f>
        <v/>
      </c>
      <c r="P759" s="55" t="str">
        <f>IF(AND($L759=$O$7,$B759&lt;'111'!$N$11),"x","")</f>
        <v/>
      </c>
      <c r="Q759" s="55" t="str">
        <f>IF(AND($M759=$O$7,$B759&lt;'111'!$N$11),"x","")</f>
        <v/>
      </c>
      <c r="R759" s="55" t="str">
        <f>IF(ISERROR(FIND('112'!$M$9,G759,1)),"",IF((AND(FIND('112'!$M$9,G759,1)&gt;=1,$B759&gt;='112'!$N$8,$B759&lt;='112'!$O$8,OR($L759='112'!$I$6,$M759='112'!$I$6))),"x",""))</f>
        <v>x</v>
      </c>
      <c r="S759" s="55" t="str">
        <f>IF(ISERROR(FIND('112'!$M$9,G759,1)),"",IF((AND(LEFT(G759,2)=LEFT('112'!$M$9,2),B759&lt;'112'!$N$8,$L759='112'!$I$6)),"x",""))</f>
        <v/>
      </c>
      <c r="T759" s="55" t="str">
        <f>IF(ISERROR(FIND('112'!$M$9,G759,1)),"",IF((AND(RIGHT(G759,2)=RIGHT('112'!$M$9,2),B759&lt;'112'!$N$8,$M759='112'!$I$6)),"x",""))</f>
        <v/>
      </c>
      <c r="U759" s="55" t="str">
        <f>IF(AND('3411-CT'!$F$9=H759,OR(LEFT(L759,3)=$U$7,LEFT(M759,3)=$U$7)),"x","")</f>
        <v/>
      </c>
      <c r="V759" s="55" t="str">
        <f>IF(OR(TH!L759=TH!$V$7,M759=TH!$V$7),"x","")</f>
        <v/>
      </c>
      <c r="W759" s="55" t="str">
        <f>IF(AND(OR(L759="131",M759="131"),H759='131-CT'!$E$7),"x","")</f>
        <v/>
      </c>
      <c r="X759" s="55" t="str">
        <f>IF(AND(B759&gt;='IN-NX'!$P$3,B759&lt;='IN-NX'!$Q$3,'IN-NX'!$D$7=D759,OR(LEFT(TH!L759,2)="15",LEFT(TH!M759,2)="15")),"x","")</f>
        <v/>
      </c>
      <c r="Y759" s="55" t="str">
        <f>IF(AND(OR(LEFT(TH!L759,2)="15",LEFT(TH!M759,2)="15"),'152-CT'!$J$8=TH!F759),"x","")</f>
        <v/>
      </c>
      <c r="Z759" s="55" t="str">
        <f>IF(AND(OR(LEFT(TH!L759,2)="15",LEFT(TH!M759,2)="15"),TK!$E$7=TH!F759),"x","")</f>
        <v/>
      </c>
      <c r="AA759" s="55" t="str">
        <f>IF(AND(B759&lt;=NKC!$N$8,B759&gt;=NKC!$M$8),"x","")</f>
        <v/>
      </c>
    </row>
    <row r="760" spans="1:29" s="226" customFormat="1" ht="15.75" customHeight="1">
      <c r="A760" s="219" t="str">
        <f>IF(B760&lt;&gt;"",IF(AND(B760&gt;=_TM1,B760&lt;=_TM2,OR(TH!L760="1111",TH!M760="1111")),TH!D760,""),"")</f>
        <v/>
      </c>
      <c r="B760" s="36">
        <f t="shared" si="32"/>
        <v>8</v>
      </c>
      <c r="C760" s="37">
        <v>41146</v>
      </c>
      <c r="D760" s="205" t="s">
        <v>538</v>
      </c>
      <c r="E760" s="205">
        <v>41146</v>
      </c>
      <c r="F760" s="40" t="s">
        <v>785</v>
      </c>
      <c r="G760" s="580" t="s">
        <v>1041</v>
      </c>
      <c r="H760" s="7" t="s">
        <v>487</v>
      </c>
      <c r="I760" s="277">
        <v>150</v>
      </c>
      <c r="J760" s="277">
        <v>27900</v>
      </c>
      <c r="K760" s="38">
        <v>4185000</v>
      </c>
      <c r="L760" s="39" t="s">
        <v>186</v>
      </c>
      <c r="M760" s="699" t="s">
        <v>8</v>
      </c>
      <c r="N760" s="55" t="str">
        <f>IF(AND('331-CT'!$E$7=TH!H760,OR(L760="331",M760="331")),"x","")</f>
        <v/>
      </c>
      <c r="O760" s="55" t="str">
        <f>IF(AND($B760&gt;='111'!$N$11,$B760&lt;='111'!$O$11,OR($L760=$O$7,$M760=$O$7)),"x","")</f>
        <v/>
      </c>
      <c r="P760" s="55" t="str">
        <f>IF(AND($L760=$O$7,$B760&lt;'111'!$N$11),"x","")</f>
        <v/>
      </c>
      <c r="Q760" s="55" t="str">
        <f>IF(AND($M760=$O$7,$B760&lt;'111'!$N$11),"x","")</f>
        <v/>
      </c>
      <c r="R760" s="55" t="str">
        <f>IF(ISERROR(FIND('112'!$M$9,G760,1)),"",IF((AND(FIND('112'!$M$9,G760,1)&gt;=1,$B760&gt;='112'!$N$8,$B760&lt;='112'!$O$8,OR($L760='112'!$I$6,$M760='112'!$I$6))),"x",""))</f>
        <v/>
      </c>
      <c r="S760" s="55" t="str">
        <f>IF(ISERROR(FIND('112'!$M$9,G760,1)),"",IF((AND(LEFT(G760,2)=LEFT('112'!$M$9,2),B760&lt;'112'!$N$8,$L760='112'!$I$6)),"x",""))</f>
        <v/>
      </c>
      <c r="T760" s="55" t="str">
        <f>IF(ISERROR(FIND('112'!$M$9,G760,1)),"",IF((AND(RIGHT(G760,2)=RIGHT('112'!$M$9,2),B760&lt;'112'!$N$8,$M760='112'!$I$6)),"x",""))</f>
        <v/>
      </c>
      <c r="U760" s="55" t="str">
        <f>IF(AND('3411-CT'!$F$9=H760,OR(LEFT(L760,3)=$U$7,LEFT(M760,3)=$U$7)),"x","")</f>
        <v/>
      </c>
      <c r="V760" s="55" t="str">
        <f>IF(OR(TH!L760=TH!$V$7,M760=TH!$V$7),"x","")</f>
        <v/>
      </c>
      <c r="W760" s="55" t="str">
        <f>IF(AND(OR(L760="131",M760="131"),H760='131-CT'!$E$7),"x","")</f>
        <v/>
      </c>
      <c r="X760" s="55" t="str">
        <f>IF(AND(B760&gt;='IN-NX'!$P$3,B760&lt;='IN-NX'!$Q$3,'IN-NX'!$D$7=D760,OR(LEFT(TH!L760,2)="15",LEFT(TH!M760,2)="15")),"x","")</f>
        <v/>
      </c>
      <c r="Y760" s="55" t="str">
        <f>IF(AND(OR(LEFT(TH!L760,2)="15",LEFT(TH!M760,2)="15"),'152-CT'!$J$8=TH!F760),"x","")</f>
        <v/>
      </c>
      <c r="Z760" s="55" t="str">
        <f>IF(AND(OR(LEFT(TH!L760,2)="15",LEFT(TH!M760,2)="15"),TK!$E$7=TH!F760),"x","")</f>
        <v/>
      </c>
      <c r="AA760" s="55" t="str">
        <f>IF(AND(B760&lt;=NKC!$N$8,B760&gt;=NKC!$M$8),"x","")</f>
        <v/>
      </c>
      <c r="AC760" s="226" t="str">
        <f>IF(ISNA(VLOOKUP(F760,NXT!$C$18:$C$347,1,0)),x,"")</f>
        <v/>
      </c>
    </row>
    <row r="761" spans="1:29" s="226" customFormat="1" ht="15.75" customHeight="1">
      <c r="A761" s="219" t="str">
        <f>IF(B761&lt;&gt;"",IF(AND(B761&gt;=_TM1,B761&lt;=_TM2,OR(TH!L761="1111",TH!M761="1111")),TH!D761,""),"")</f>
        <v/>
      </c>
      <c r="B761" s="36">
        <f t="shared" si="32"/>
        <v>8</v>
      </c>
      <c r="C761" s="37">
        <v>41146</v>
      </c>
      <c r="D761" s="205" t="s">
        <v>538</v>
      </c>
      <c r="E761" s="205">
        <v>41146</v>
      </c>
      <c r="F761" s="206" t="s">
        <v>1042</v>
      </c>
      <c r="G761" s="581" t="s">
        <v>1041</v>
      </c>
      <c r="H761" s="7" t="s">
        <v>487</v>
      </c>
      <c r="I761" s="277">
        <v>150</v>
      </c>
      <c r="J761" s="277">
        <v>22800</v>
      </c>
      <c r="K761" s="38">
        <v>3420000</v>
      </c>
      <c r="L761" s="208" t="s">
        <v>186</v>
      </c>
      <c r="M761" s="699" t="s">
        <v>8</v>
      </c>
      <c r="N761" s="55" t="str">
        <f>IF(AND('331-CT'!$E$7=TH!H761,OR(L761="331",M761="331")),"x","")</f>
        <v/>
      </c>
      <c r="O761" s="55" t="str">
        <f>IF(AND($B761&gt;='111'!$N$11,$B761&lt;='111'!$O$11,OR($L761=$O$7,$M761=$O$7)),"x","")</f>
        <v/>
      </c>
      <c r="P761" s="55" t="str">
        <f>IF(AND($L761=$O$7,$B761&lt;'111'!$N$11),"x","")</f>
        <v/>
      </c>
      <c r="Q761" s="55" t="str">
        <f>IF(AND($M761=$O$7,$B761&lt;'111'!$N$11),"x","")</f>
        <v/>
      </c>
      <c r="R761" s="55" t="str">
        <f>IF(ISERROR(FIND('112'!$M$9,G761,1)),"",IF((AND(FIND('112'!$M$9,G761,1)&gt;=1,$B761&gt;='112'!$N$8,$B761&lt;='112'!$O$8,OR($L761='112'!$I$6,$M761='112'!$I$6))),"x",""))</f>
        <v/>
      </c>
      <c r="S761" s="55" t="str">
        <f>IF(ISERROR(FIND('112'!$M$9,G761,1)),"",IF((AND(LEFT(G761,2)=LEFT('112'!$M$9,2),B761&lt;'112'!$N$8,$L761='112'!$I$6)),"x",""))</f>
        <v/>
      </c>
      <c r="T761" s="55" t="str">
        <f>IF(ISERROR(FIND('112'!$M$9,G761,1)),"",IF((AND(RIGHT(G761,2)=RIGHT('112'!$M$9,2),B761&lt;'112'!$N$8,$M761='112'!$I$6)),"x",""))</f>
        <v/>
      </c>
      <c r="U761" s="55" t="str">
        <f>IF(AND('3411-CT'!$F$9=H761,OR(LEFT(L761,3)=$U$7,LEFT(M761,3)=$U$7)),"x","")</f>
        <v/>
      </c>
      <c r="V761" s="55" t="str">
        <f>IF(OR(TH!L761=TH!$V$7,M761=TH!$V$7),"x","")</f>
        <v/>
      </c>
      <c r="W761" s="55" t="str">
        <f>IF(AND(OR(L761="131",M761="131"),H761='131-CT'!$E$7),"x","")</f>
        <v/>
      </c>
      <c r="X761" s="55" t="str">
        <f>IF(AND(B761&gt;='IN-NX'!$P$3,B761&lt;='IN-NX'!$Q$3,'IN-NX'!$D$7=D761,OR(LEFT(TH!L761,2)="15",LEFT(TH!M761,2)="15")),"x","")</f>
        <v/>
      </c>
      <c r="Y761" s="55" t="str">
        <f>IF(AND(OR(LEFT(TH!L761,2)="15",LEFT(TH!M761,2)="15"),'152-CT'!$J$8=TH!F761),"x","")</f>
        <v/>
      </c>
      <c r="Z761" s="55" t="str">
        <f>IF(AND(OR(LEFT(TH!L761,2)="15",LEFT(TH!M761,2)="15"),TK!$E$7=TH!F761),"x","")</f>
        <v/>
      </c>
      <c r="AA761" s="55" t="str">
        <f>IF(AND(B761&lt;=NKC!$N$8,B761&gt;=NKC!$M$8),"x","")</f>
        <v/>
      </c>
      <c r="AC761" s="226" t="str">
        <f>IF(ISNA(VLOOKUP(F761,NXT!$C$18:$C$347,1,0)),x,"")</f>
        <v/>
      </c>
    </row>
    <row r="762" spans="1:29" s="226" customFormat="1" ht="15.75" customHeight="1">
      <c r="A762" s="219" t="str">
        <f>IF(B762&lt;&gt;"",IF(AND(B762&gt;=_TM1,B762&lt;=_TM2,OR(TH!L762="1111",TH!M762="1111")),TH!D762,""),"")</f>
        <v/>
      </c>
      <c r="B762" s="36">
        <f t="shared" si="32"/>
        <v>8</v>
      </c>
      <c r="C762" s="37">
        <v>41146</v>
      </c>
      <c r="D762" s="205" t="s">
        <v>538</v>
      </c>
      <c r="E762" s="205">
        <v>41146</v>
      </c>
      <c r="F762" s="206" t="s">
        <v>573</v>
      </c>
      <c r="G762" s="581" t="s">
        <v>1041</v>
      </c>
      <c r="H762" s="7" t="s">
        <v>487</v>
      </c>
      <c r="I762" s="277"/>
      <c r="J762" s="277"/>
      <c r="K762" s="38">
        <v>760500</v>
      </c>
      <c r="L762" s="208" t="s">
        <v>9</v>
      </c>
      <c r="M762" s="699" t="s">
        <v>8</v>
      </c>
      <c r="N762" s="55" t="str">
        <f>IF(AND('331-CT'!$E$7=TH!H762,OR(L762="331",M762="331")),"x","")</f>
        <v/>
      </c>
      <c r="O762" s="55" t="str">
        <f>IF(AND($B762&gt;='111'!$N$11,$B762&lt;='111'!$O$11,OR($L762=$O$7,$M762=$O$7)),"x","")</f>
        <v/>
      </c>
      <c r="P762" s="55" t="str">
        <f>IF(AND($L762=$O$7,$B762&lt;'111'!$N$11),"x","")</f>
        <v/>
      </c>
      <c r="Q762" s="55" t="str">
        <f>IF(AND($M762=$O$7,$B762&lt;'111'!$N$11),"x","")</f>
        <v/>
      </c>
      <c r="R762" s="55" t="str">
        <f>IF(ISERROR(FIND('112'!$M$9,G762,1)),"",IF((AND(FIND('112'!$M$9,G762,1)&gt;=1,$B762&gt;='112'!$N$8,$B762&lt;='112'!$O$8,OR($L762='112'!$I$6,$M762='112'!$I$6))),"x",""))</f>
        <v/>
      </c>
      <c r="S762" s="55" t="str">
        <f>IF(ISERROR(FIND('112'!$M$9,G762,1)),"",IF((AND(LEFT(G762,2)=LEFT('112'!$M$9,2),B762&lt;'112'!$N$8,$L762='112'!$I$6)),"x",""))</f>
        <v/>
      </c>
      <c r="T762" s="55" t="str">
        <f>IF(ISERROR(FIND('112'!$M$9,G762,1)),"",IF((AND(RIGHT(G762,2)=RIGHT('112'!$M$9,2),B762&lt;'112'!$N$8,$M762='112'!$I$6)),"x",""))</f>
        <v/>
      </c>
      <c r="U762" s="55" t="str">
        <f>IF(AND('3411-CT'!$F$9=H762,OR(LEFT(L762,3)=$U$7,LEFT(M762,3)=$U$7)),"x","")</f>
        <v/>
      </c>
      <c r="V762" s="55" t="str">
        <f>IF(OR(TH!L762=TH!$V$7,M762=TH!$V$7),"x","")</f>
        <v/>
      </c>
      <c r="W762" s="55" t="str">
        <f>IF(AND(OR(L762="131",M762="131"),H762='131-CT'!$E$7),"x","")</f>
        <v/>
      </c>
      <c r="X762" s="55" t="str">
        <f>IF(AND(B762&gt;='IN-NX'!$P$3,B762&lt;='IN-NX'!$Q$3,'IN-NX'!$D$7=D762,OR(LEFT(TH!L762,2)="15",LEFT(TH!M762,2)="15")),"x","")</f>
        <v/>
      </c>
      <c r="Y762" s="55" t="str">
        <f>IF(AND(OR(LEFT(TH!L762,2)="15",LEFT(TH!M762,2)="15"),'152-CT'!$J$8=TH!F762),"x","")</f>
        <v/>
      </c>
      <c r="Z762" s="55" t="str">
        <f>IF(AND(OR(LEFT(TH!L762,2)="15",LEFT(TH!M762,2)="15"),TK!$E$7=TH!F762),"x","")</f>
        <v/>
      </c>
      <c r="AA762" s="55" t="str">
        <f>IF(AND(B762&lt;=NKC!$N$8,B762&gt;=NKC!$M$8),"x","")</f>
        <v/>
      </c>
    </row>
    <row r="763" spans="1:29" s="226" customFormat="1" ht="15.75" customHeight="1">
      <c r="A763" s="219" t="str">
        <f>IF(B763&lt;&gt;"",IF(AND(B763&gt;=_TM1,B763&lt;=_TM2,OR(TH!L763="1111",TH!M763="1111")),TH!D763,""),"")</f>
        <v/>
      </c>
      <c r="B763" s="36">
        <f>IF(C763&lt;&gt;"",MONTH(C763),"")</f>
        <v>8</v>
      </c>
      <c r="C763" s="37">
        <v>41148</v>
      </c>
      <c r="D763" s="205" t="s">
        <v>539</v>
      </c>
      <c r="E763" s="205">
        <v>41148</v>
      </c>
      <c r="F763" s="206" t="s">
        <v>1043</v>
      </c>
      <c r="G763" s="581" t="s">
        <v>1044</v>
      </c>
      <c r="H763" s="7" t="s">
        <v>487</v>
      </c>
      <c r="I763" s="277">
        <v>500</v>
      </c>
      <c r="J763" s="277">
        <v>18746</v>
      </c>
      <c r="K763" s="38">
        <v>9373000</v>
      </c>
      <c r="L763" s="208" t="s">
        <v>186</v>
      </c>
      <c r="M763" s="699" t="s">
        <v>8</v>
      </c>
      <c r="N763" s="55" t="str">
        <f>IF(AND('331-CT'!$E$7=TH!H763,OR(L763="331",M763="331")),"x","")</f>
        <v/>
      </c>
      <c r="O763" s="55" t="str">
        <f>IF(AND($B763&gt;='111'!$N$11,$B763&lt;='111'!$O$11,OR($L763=$O$7,$M763=$O$7)),"x","")</f>
        <v/>
      </c>
      <c r="P763" s="55" t="str">
        <f>IF(AND($L763=$O$7,$B763&lt;'111'!$N$11),"x","")</f>
        <v/>
      </c>
      <c r="Q763" s="55" t="str">
        <f>IF(AND($M763=$O$7,$B763&lt;'111'!$N$11),"x","")</f>
        <v/>
      </c>
      <c r="R763" s="55" t="str">
        <f>IF(ISERROR(FIND('112'!$M$9,G763,1)),"",IF((AND(FIND('112'!$M$9,G763,1)&gt;=1,$B763&gt;='112'!$N$8,$B763&lt;='112'!$O$8,OR($L763='112'!$I$6,$M763='112'!$I$6))),"x",""))</f>
        <v/>
      </c>
      <c r="S763" s="55" t="str">
        <f>IF(ISERROR(FIND('112'!$M$9,G763,1)),"",IF((AND(LEFT(G763,2)=LEFT('112'!$M$9,2),B763&lt;'112'!$N$8,$L763='112'!$I$6)),"x",""))</f>
        <v/>
      </c>
      <c r="T763" s="55" t="str">
        <f>IF(ISERROR(FIND('112'!$M$9,G763,1)),"",IF((AND(RIGHT(G763,2)=RIGHT('112'!$M$9,2),B763&lt;'112'!$N$8,$M763='112'!$I$6)),"x",""))</f>
        <v/>
      </c>
      <c r="U763" s="55" t="str">
        <f>IF(AND('3411-CT'!$F$9=H763,OR(LEFT(L763,3)=$U$7,LEFT(M763,3)=$U$7)),"x","")</f>
        <v/>
      </c>
      <c r="V763" s="55" t="str">
        <f>IF(OR(TH!L763=TH!$V$7,M763=TH!$V$7),"x","")</f>
        <v/>
      </c>
      <c r="W763" s="55" t="str">
        <f>IF(AND(OR(L763="131",M763="131"),H763='131-CT'!$E$7),"x","")</f>
        <v/>
      </c>
      <c r="X763" s="55" t="str">
        <f>IF(AND(B763&gt;='IN-NX'!$P$3,B763&lt;='IN-NX'!$Q$3,'IN-NX'!$D$7=D763,OR(LEFT(TH!L763,2)="15",LEFT(TH!M763,2)="15")),"x","")</f>
        <v/>
      </c>
      <c r="Y763" s="55" t="str">
        <f>IF(AND(OR(LEFT(TH!L763,2)="15",LEFT(TH!M763,2)="15"),'152-CT'!$J$8=TH!F763),"x","")</f>
        <v/>
      </c>
      <c r="Z763" s="55" t="str">
        <f>IF(AND(OR(LEFT(TH!L763,2)="15",LEFT(TH!M763,2)="15"),TK!$E$7=TH!F763),"x","")</f>
        <v/>
      </c>
      <c r="AA763" s="55" t="str">
        <f>IF(AND(B763&lt;=NKC!$N$8,B763&gt;=NKC!$M$8),"x","")</f>
        <v/>
      </c>
      <c r="AC763" s="226" t="str">
        <f>IF(ISNA(VLOOKUP(F763,NXT!$C$18:$C$347,1,0)),x,"")</f>
        <v/>
      </c>
    </row>
    <row r="764" spans="1:29" s="226" customFormat="1" ht="15.75" customHeight="1">
      <c r="A764" s="219" t="str">
        <f>IF(B764&lt;&gt;"",IF(AND(B764&gt;=_TM1,B764&lt;=_TM2,OR(TH!L764="1111",TH!M764="1111")),TH!D764,""),"")</f>
        <v/>
      </c>
      <c r="B764" s="36">
        <f t="shared" ref="B764:B772" si="33">IF(C764&lt;&gt;"",MONTH(C764),"")</f>
        <v>8</v>
      </c>
      <c r="C764" s="37">
        <v>41148</v>
      </c>
      <c r="D764" s="205" t="s">
        <v>539</v>
      </c>
      <c r="E764" s="37">
        <v>41148</v>
      </c>
      <c r="F764" s="40" t="s">
        <v>970</v>
      </c>
      <c r="G764" s="40" t="s">
        <v>1044</v>
      </c>
      <c r="H764" s="7" t="s">
        <v>487</v>
      </c>
      <c r="I764" s="277">
        <v>210</v>
      </c>
      <c r="J764" s="277">
        <v>13971</v>
      </c>
      <c r="K764" s="38">
        <v>2933910</v>
      </c>
      <c r="L764" s="39" t="s">
        <v>186</v>
      </c>
      <c r="M764" s="699" t="s">
        <v>8</v>
      </c>
      <c r="N764" s="55" t="str">
        <f>IF(AND('331-CT'!$E$7=TH!H764,OR(L764="331",M764="331")),"x","")</f>
        <v/>
      </c>
      <c r="O764" s="55" t="str">
        <f>IF(AND($B764&gt;='111'!$N$11,$B764&lt;='111'!$O$11,OR($L764=$O$7,$M764=$O$7)),"x","")</f>
        <v/>
      </c>
      <c r="P764" s="55" t="str">
        <f>IF(AND($L764=$O$7,$B764&lt;'111'!$N$11),"x","")</f>
        <v/>
      </c>
      <c r="Q764" s="55" t="str">
        <f>IF(AND($M764=$O$7,$B764&lt;'111'!$N$11),"x","")</f>
        <v/>
      </c>
      <c r="R764" s="55" t="str">
        <f>IF(ISERROR(FIND('112'!$M$9,G764,1)),"",IF((AND(FIND('112'!$M$9,G764,1)&gt;=1,$B764&gt;='112'!$N$8,$B764&lt;='112'!$O$8,OR($L764='112'!$I$6,$M764='112'!$I$6))),"x",""))</f>
        <v/>
      </c>
      <c r="S764" s="55" t="str">
        <f>IF(ISERROR(FIND('112'!$M$9,G764,1)),"",IF((AND(LEFT(G764,2)=LEFT('112'!$M$9,2),B764&lt;'112'!$N$8,$L764='112'!$I$6)),"x",""))</f>
        <v/>
      </c>
      <c r="T764" s="55" t="str">
        <f>IF(ISERROR(FIND('112'!$M$9,G764,1)),"",IF((AND(RIGHT(G764,2)=RIGHT('112'!$M$9,2),B764&lt;'112'!$N$8,$M764='112'!$I$6)),"x",""))</f>
        <v/>
      </c>
      <c r="U764" s="55" t="str">
        <f>IF(AND('3411-CT'!$F$9=H764,OR(LEFT(L764,3)=$U$7,LEFT(M764,3)=$U$7)),"x","")</f>
        <v/>
      </c>
      <c r="V764" s="55" t="str">
        <f>IF(OR(TH!L764=TH!$V$7,M764=TH!$V$7),"x","")</f>
        <v/>
      </c>
      <c r="W764" s="55" t="str">
        <f>IF(AND(OR(L764="131",M764="131"),H764='131-CT'!$E$7),"x","")</f>
        <v/>
      </c>
      <c r="X764" s="55" t="str">
        <f>IF(AND(B764&gt;='IN-NX'!$P$3,B764&lt;='IN-NX'!$Q$3,'IN-NX'!$D$7=D764,OR(LEFT(TH!L764,2)="15",LEFT(TH!M764,2)="15")),"x","")</f>
        <v/>
      </c>
      <c r="Y764" s="55" t="str">
        <f>IF(AND(OR(LEFT(TH!L764,2)="15",LEFT(TH!M764,2)="15"),'152-CT'!$J$8=TH!F764),"x","")</f>
        <v/>
      </c>
      <c r="Z764" s="55" t="str">
        <f>IF(AND(OR(LEFT(TH!L764,2)="15",LEFT(TH!M764,2)="15"),TK!$E$7=TH!F764),"x","")</f>
        <v/>
      </c>
      <c r="AA764" s="55" t="str">
        <f>IF(AND(B764&lt;=NKC!$N$8,B764&gt;=NKC!$M$8),"x","")</f>
        <v/>
      </c>
      <c r="AC764" s="226" t="str">
        <f>IF(ISNA(VLOOKUP(F764,NXT!$C$18:$C$347,1,0)),x,"")</f>
        <v/>
      </c>
    </row>
    <row r="765" spans="1:29" s="226" customFormat="1" ht="15.75" customHeight="1">
      <c r="A765" s="219" t="str">
        <f>IF(B765&lt;&gt;"",IF(AND(B765&gt;=_TM1,B765&lt;=_TM2,OR(TH!L765="1111",TH!M765="1111")),TH!D765,""),"")</f>
        <v/>
      </c>
      <c r="B765" s="36">
        <f t="shared" si="33"/>
        <v>8</v>
      </c>
      <c r="C765" s="37">
        <v>41148</v>
      </c>
      <c r="D765" s="205" t="s">
        <v>539</v>
      </c>
      <c r="E765" s="37">
        <v>41148</v>
      </c>
      <c r="F765" s="40" t="s">
        <v>573</v>
      </c>
      <c r="G765" s="40" t="s">
        <v>1044</v>
      </c>
      <c r="H765" s="7" t="s">
        <v>487</v>
      </c>
      <c r="I765" s="277"/>
      <c r="J765" s="277"/>
      <c r="K765" s="38">
        <v>1230691</v>
      </c>
      <c r="L765" s="39" t="s">
        <v>9</v>
      </c>
      <c r="M765" s="699" t="s">
        <v>8</v>
      </c>
      <c r="N765" s="55" t="str">
        <f>IF(AND('331-CT'!$E$7=TH!H765,OR(L765="331",M765="331")),"x","")</f>
        <v/>
      </c>
      <c r="O765" s="55" t="str">
        <f>IF(AND($B765&gt;='111'!$N$11,$B765&lt;='111'!$O$11,OR($L765=$O$7,$M765=$O$7)),"x","")</f>
        <v/>
      </c>
      <c r="P765" s="55" t="str">
        <f>IF(AND($L765=$O$7,$B765&lt;'111'!$N$11),"x","")</f>
        <v/>
      </c>
      <c r="Q765" s="55" t="str">
        <f>IF(AND($M765=$O$7,$B765&lt;'111'!$N$11),"x","")</f>
        <v/>
      </c>
      <c r="R765" s="55" t="str">
        <f>IF(ISERROR(FIND('112'!$M$9,G765,1)),"",IF((AND(FIND('112'!$M$9,G765,1)&gt;=1,$B765&gt;='112'!$N$8,$B765&lt;='112'!$O$8,OR($L765='112'!$I$6,$M765='112'!$I$6))),"x",""))</f>
        <v/>
      </c>
      <c r="S765" s="55" t="str">
        <f>IF(ISERROR(FIND('112'!$M$9,G765,1)),"",IF((AND(LEFT(G765,2)=LEFT('112'!$M$9,2),B765&lt;'112'!$N$8,$L765='112'!$I$6)),"x",""))</f>
        <v/>
      </c>
      <c r="T765" s="55" t="str">
        <f>IF(ISERROR(FIND('112'!$M$9,G765,1)),"",IF((AND(RIGHT(G765,2)=RIGHT('112'!$M$9,2),B765&lt;'112'!$N$8,$M765='112'!$I$6)),"x",""))</f>
        <v/>
      </c>
      <c r="U765" s="55" t="str">
        <f>IF(AND('3411-CT'!$F$9=H765,OR(LEFT(L765,3)=$U$7,LEFT(M765,3)=$U$7)),"x","")</f>
        <v/>
      </c>
      <c r="V765" s="55" t="str">
        <f>IF(OR(TH!L765=TH!$V$7,M765=TH!$V$7),"x","")</f>
        <v/>
      </c>
      <c r="W765" s="55" t="str">
        <f>IF(AND(OR(L765="131",M765="131"),H765='131-CT'!$E$7),"x","")</f>
        <v/>
      </c>
      <c r="X765" s="55" t="str">
        <f>IF(AND(B765&gt;='IN-NX'!$P$3,B765&lt;='IN-NX'!$Q$3,'IN-NX'!$D$7=D765,OR(LEFT(TH!L765,2)="15",LEFT(TH!M765,2)="15")),"x","")</f>
        <v/>
      </c>
      <c r="Y765" s="55" t="str">
        <f>IF(AND(OR(LEFT(TH!L765,2)="15",LEFT(TH!M765,2)="15"),'152-CT'!$J$8=TH!F765),"x","")</f>
        <v/>
      </c>
      <c r="Z765" s="55" t="str">
        <f>IF(AND(OR(LEFT(TH!L765,2)="15",LEFT(TH!M765,2)="15"),TK!$E$7=TH!F765),"x","")</f>
        <v/>
      </c>
      <c r="AA765" s="55" t="str">
        <f>IF(AND(B765&lt;=NKC!$N$8,B765&gt;=NKC!$M$8),"x","")</f>
        <v/>
      </c>
    </row>
    <row r="766" spans="1:29" s="226" customFormat="1" ht="15.75" customHeight="1">
      <c r="A766" s="219" t="str">
        <f>IF(B766&lt;&gt;"",IF(AND(B766&gt;=_TM1,B766&lt;=_TM2,OR(TH!L766="1111",TH!M766="1111")),TH!D766,""),"")</f>
        <v/>
      </c>
      <c r="B766" s="36">
        <f t="shared" si="33"/>
        <v>8</v>
      </c>
      <c r="C766" s="37">
        <v>41149</v>
      </c>
      <c r="D766" s="37" t="s">
        <v>499</v>
      </c>
      <c r="E766" s="37">
        <v>41149</v>
      </c>
      <c r="F766" s="40" t="s">
        <v>451</v>
      </c>
      <c r="G766" s="40" t="s">
        <v>401</v>
      </c>
      <c r="H766" s="45" t="s">
        <v>706</v>
      </c>
      <c r="I766" s="277"/>
      <c r="J766" s="277"/>
      <c r="K766" s="38">
        <v>20000000</v>
      </c>
      <c r="L766" s="39" t="s">
        <v>24</v>
      </c>
      <c r="M766" s="39" t="s">
        <v>49</v>
      </c>
      <c r="N766" s="55" t="str">
        <f>IF(AND('331-CT'!$E$7=TH!H766,OR(L766="331",M766="331")),"x","")</f>
        <v/>
      </c>
      <c r="O766" s="55" t="str">
        <f>IF(AND($B766&gt;='111'!$N$11,$B766&lt;='111'!$O$11,OR($L766=$O$7,$M766=$O$7)),"x","")</f>
        <v/>
      </c>
      <c r="P766" s="55" t="str">
        <f>IF(AND($L766=$O$7,$B766&lt;'111'!$N$11),"x","")</f>
        <v/>
      </c>
      <c r="Q766" s="55" t="str">
        <f>IF(AND($M766=$O$7,$B766&lt;'111'!$N$11),"x","")</f>
        <v>x</v>
      </c>
      <c r="R766" s="55" t="str">
        <f>IF(ISERROR(FIND('112'!$M$9,G766,1)),"",IF((AND(FIND('112'!$M$9,G766,1)&gt;=1,$B766&gt;='112'!$N$8,$B766&lt;='112'!$O$8,OR($L766='112'!$I$6,$M766='112'!$I$6))),"x",""))</f>
        <v>x</v>
      </c>
      <c r="S766" s="55" t="str">
        <f>IF(ISERROR(FIND('112'!$M$9,G766,1)),"",IF((AND(LEFT(G766,2)=LEFT('112'!$M$9,2),B766&lt;'112'!$N$8,$L766='112'!$I$6)),"x",""))</f>
        <v/>
      </c>
      <c r="T766" s="55" t="str">
        <f>IF(ISERROR(FIND('112'!$M$9,G766,1)),"",IF((AND(RIGHT(G766,2)=RIGHT('112'!$M$9,2),B766&lt;'112'!$N$8,$M766='112'!$I$6)),"x",""))</f>
        <v/>
      </c>
      <c r="U766" s="55" t="str">
        <f>IF(AND('3411-CT'!$F$9=H766,OR(LEFT(L766,3)=$U$7,LEFT(M766,3)=$U$7)),"x","")</f>
        <v/>
      </c>
      <c r="V766" s="55" t="str">
        <f>IF(OR(TH!L766=TH!$V$7,M766=TH!$V$7),"x","")</f>
        <v/>
      </c>
      <c r="W766" s="55" t="str">
        <f>IF(AND(OR(L766="131",M766="131"),H766='131-CT'!$E$7),"x","")</f>
        <v/>
      </c>
      <c r="X766" s="55" t="str">
        <f>IF(AND(B766&gt;='IN-NX'!$P$3,B766&lt;='IN-NX'!$Q$3,'IN-NX'!$D$7=D766,OR(LEFT(TH!L766,2)="15",LEFT(TH!M766,2)="15")),"x","")</f>
        <v/>
      </c>
      <c r="Y766" s="55" t="str">
        <f>IF(AND(OR(LEFT(TH!L766,2)="15",LEFT(TH!M766,2)="15"),'152-CT'!$J$8=TH!F766),"x","")</f>
        <v/>
      </c>
      <c r="Z766" s="55" t="str">
        <f>IF(AND(OR(LEFT(TH!L766,2)="15",LEFT(TH!M766,2)="15"),TK!$E$7=TH!F766),"x","")</f>
        <v/>
      </c>
      <c r="AA766" s="55" t="str">
        <f>IF(AND(B766&lt;=NKC!$N$8,B766&gt;=NKC!$M$8),"x","")</f>
        <v/>
      </c>
    </row>
    <row r="767" spans="1:29" s="226" customFormat="1" ht="15.75" customHeight="1">
      <c r="A767" s="219" t="str">
        <f>IF(B767&lt;&gt;"",IF(AND(B767&gt;=_TM1,B767&lt;=_TM2,OR(TH!L767="1111",TH!M767="1111")),TH!D767,""),"")</f>
        <v/>
      </c>
      <c r="B767" s="36">
        <f t="shared" si="33"/>
        <v>8</v>
      </c>
      <c r="C767" s="37">
        <v>41149</v>
      </c>
      <c r="D767" s="37" t="s">
        <v>500</v>
      </c>
      <c r="E767" s="37">
        <v>41149</v>
      </c>
      <c r="F767" s="40" t="s">
        <v>451</v>
      </c>
      <c r="G767" s="40" t="s">
        <v>401</v>
      </c>
      <c r="H767" s="45" t="s">
        <v>706</v>
      </c>
      <c r="I767" s="277"/>
      <c r="J767" s="277"/>
      <c r="K767" s="38">
        <v>8000000</v>
      </c>
      <c r="L767" s="39" t="s">
        <v>24</v>
      </c>
      <c r="M767" s="39" t="s">
        <v>49</v>
      </c>
      <c r="N767" s="55" t="str">
        <f>IF(AND('331-CT'!$E$7=TH!H767,OR(L767="331",M767="331")),"x","")</f>
        <v/>
      </c>
      <c r="O767" s="55" t="str">
        <f>IF(AND($B767&gt;='111'!$N$11,$B767&lt;='111'!$O$11,OR($L767=$O$7,$M767=$O$7)),"x","")</f>
        <v/>
      </c>
      <c r="P767" s="55" t="str">
        <f>IF(AND($L767=$O$7,$B767&lt;'111'!$N$11),"x","")</f>
        <v/>
      </c>
      <c r="Q767" s="55" t="str">
        <f>IF(AND($M767=$O$7,$B767&lt;'111'!$N$11),"x","")</f>
        <v>x</v>
      </c>
      <c r="R767" s="55" t="str">
        <f>IF(ISERROR(FIND('112'!$M$9,G767,1)),"",IF((AND(FIND('112'!$M$9,G767,1)&gt;=1,$B767&gt;='112'!$N$8,$B767&lt;='112'!$O$8,OR($L767='112'!$I$6,$M767='112'!$I$6))),"x",""))</f>
        <v>x</v>
      </c>
      <c r="S767" s="55" t="str">
        <f>IF(ISERROR(FIND('112'!$M$9,G767,1)),"",IF((AND(LEFT(G767,2)=LEFT('112'!$M$9,2),B767&lt;'112'!$N$8,$L767='112'!$I$6)),"x",""))</f>
        <v/>
      </c>
      <c r="T767" s="55" t="str">
        <f>IF(ISERROR(FIND('112'!$M$9,G767,1)),"",IF((AND(RIGHT(G767,2)=RIGHT('112'!$M$9,2),B767&lt;'112'!$N$8,$M767='112'!$I$6)),"x",""))</f>
        <v/>
      </c>
      <c r="U767" s="55" t="str">
        <f>IF(AND('3411-CT'!$F$9=H767,OR(LEFT(L767,3)=$U$7,LEFT(M767,3)=$U$7)),"x","")</f>
        <v/>
      </c>
      <c r="V767" s="55" t="str">
        <f>IF(OR(TH!L767=TH!$V$7,M767=TH!$V$7),"x","")</f>
        <v/>
      </c>
      <c r="W767" s="55" t="str">
        <f>IF(AND(OR(L767="131",M767="131"),H767='131-CT'!$E$7),"x","")</f>
        <v/>
      </c>
      <c r="X767" s="55" t="str">
        <f>IF(AND(B767&gt;='IN-NX'!$P$3,B767&lt;='IN-NX'!$Q$3,'IN-NX'!$D$7=D767,OR(LEFT(TH!L767,2)="15",LEFT(TH!M767,2)="15")),"x","")</f>
        <v/>
      </c>
      <c r="Y767" s="55" t="str">
        <f>IF(AND(OR(LEFT(TH!L767,2)="15",LEFT(TH!M767,2)="15"),'152-CT'!$J$8=TH!F767),"x","")</f>
        <v/>
      </c>
      <c r="Z767" s="55" t="str">
        <f>IF(AND(OR(LEFT(TH!L767,2)="15",LEFT(TH!M767,2)="15"),TK!$E$7=TH!F767),"x","")</f>
        <v/>
      </c>
      <c r="AA767" s="55" t="str">
        <f>IF(AND(B767&lt;=NKC!$N$8,B767&gt;=NKC!$M$8),"x","")</f>
        <v/>
      </c>
    </row>
    <row r="768" spans="1:29" s="226" customFormat="1" ht="15.75" customHeight="1">
      <c r="A768" s="219" t="str">
        <f>IF(B768&lt;&gt;"",IF(AND(B768&gt;=_TM1,B768&lt;=_TM2,OR(TH!L768="1111",TH!M768="1111")),TH!D768,""),"")</f>
        <v/>
      </c>
      <c r="B768" s="36">
        <f t="shared" si="33"/>
        <v>8</v>
      </c>
      <c r="C768" s="37">
        <v>41150</v>
      </c>
      <c r="D768" s="205" t="s">
        <v>540</v>
      </c>
      <c r="E768" s="37">
        <v>41150</v>
      </c>
      <c r="F768" s="40" t="s">
        <v>773</v>
      </c>
      <c r="G768" s="40" t="s">
        <v>1045</v>
      </c>
      <c r="H768" s="7" t="s">
        <v>487</v>
      </c>
      <c r="I768" s="277">
        <v>250</v>
      </c>
      <c r="J768" s="277">
        <v>8505</v>
      </c>
      <c r="K768" s="38">
        <v>2126250</v>
      </c>
      <c r="L768" s="39" t="s">
        <v>186</v>
      </c>
      <c r="M768" s="699" t="s">
        <v>8</v>
      </c>
      <c r="N768" s="55" t="str">
        <f>IF(AND('331-CT'!$E$7=TH!H768,OR(L768="331",M768="331")),"x","")</f>
        <v/>
      </c>
      <c r="O768" s="55" t="str">
        <f>IF(AND($B768&gt;='111'!$N$11,$B768&lt;='111'!$O$11,OR($L768=$O$7,$M768=$O$7)),"x","")</f>
        <v/>
      </c>
      <c r="P768" s="55" t="str">
        <f>IF(AND($L768=$O$7,$B768&lt;'111'!$N$11),"x","")</f>
        <v/>
      </c>
      <c r="Q768" s="55" t="str">
        <f>IF(AND($M768=$O$7,$B768&lt;'111'!$N$11),"x","")</f>
        <v/>
      </c>
      <c r="R768" s="55" t="str">
        <f>IF(ISERROR(FIND('112'!$M$9,G768,1)),"",IF((AND(FIND('112'!$M$9,G768,1)&gt;=1,$B768&gt;='112'!$N$8,$B768&lt;='112'!$O$8,OR($L768='112'!$I$6,$M768='112'!$I$6))),"x",""))</f>
        <v/>
      </c>
      <c r="S768" s="55" t="str">
        <f>IF(ISERROR(FIND('112'!$M$9,G768,1)),"",IF((AND(LEFT(G768,2)=LEFT('112'!$M$9,2),B768&lt;'112'!$N$8,$L768='112'!$I$6)),"x",""))</f>
        <v/>
      </c>
      <c r="T768" s="55" t="str">
        <f>IF(ISERROR(FIND('112'!$M$9,G768,1)),"",IF((AND(RIGHT(G768,2)=RIGHT('112'!$M$9,2),B768&lt;'112'!$N$8,$M768='112'!$I$6)),"x",""))</f>
        <v/>
      </c>
      <c r="U768" s="55" t="str">
        <f>IF(AND('3411-CT'!$F$9=H768,OR(LEFT(L768,3)=$U$7,LEFT(M768,3)=$U$7)),"x","")</f>
        <v/>
      </c>
      <c r="V768" s="55" t="str">
        <f>IF(OR(TH!L768=TH!$V$7,M768=TH!$V$7),"x","")</f>
        <v/>
      </c>
      <c r="W768" s="55" t="str">
        <f>IF(AND(OR(L768="131",M768="131"),H768='131-CT'!$E$7),"x","")</f>
        <v/>
      </c>
      <c r="X768" s="55" t="str">
        <f>IF(AND(B768&gt;='IN-NX'!$P$3,B768&lt;='IN-NX'!$Q$3,'IN-NX'!$D$7=D768,OR(LEFT(TH!L768,2)="15",LEFT(TH!M768,2)="15")),"x","")</f>
        <v/>
      </c>
      <c r="Y768" s="55" t="str">
        <f>IF(AND(OR(LEFT(TH!L768,2)="15",LEFT(TH!M768,2)="15"),'152-CT'!$J$8=TH!F768),"x","")</f>
        <v/>
      </c>
      <c r="Z768" s="55" t="str">
        <f>IF(AND(OR(LEFT(TH!L768,2)="15",LEFT(TH!M768,2)="15"),TK!$E$7=TH!F768),"x","")</f>
        <v/>
      </c>
      <c r="AA768" s="55" t="str">
        <f>IF(AND(B768&lt;=NKC!$N$8,B768&gt;=NKC!$M$8),"x","")</f>
        <v/>
      </c>
      <c r="AC768" s="226" t="str">
        <f>IF(ISNA(VLOOKUP(F768,NXT!$C$18:$C$347,1,0)),x,"")</f>
        <v/>
      </c>
    </row>
    <row r="769" spans="1:29" s="226" customFormat="1" ht="15.75" customHeight="1">
      <c r="A769" s="219" t="str">
        <f>IF(B769&lt;&gt;"",IF(AND(B769&gt;=_TM1,B769&lt;=_TM2,OR(TH!L769="1111",TH!M769="1111")),TH!D769,""),"")</f>
        <v/>
      </c>
      <c r="B769" s="36">
        <f t="shared" si="33"/>
        <v>8</v>
      </c>
      <c r="C769" s="37">
        <v>41150</v>
      </c>
      <c r="D769" s="205" t="s">
        <v>540</v>
      </c>
      <c r="E769" s="37">
        <v>41150</v>
      </c>
      <c r="F769" s="40" t="s">
        <v>964</v>
      </c>
      <c r="G769" s="40" t="s">
        <v>1045</v>
      </c>
      <c r="H769" s="7" t="s">
        <v>487</v>
      </c>
      <c r="I769" s="278">
        <v>350</v>
      </c>
      <c r="J769" s="278">
        <v>13507</v>
      </c>
      <c r="K769" s="38">
        <v>4727450</v>
      </c>
      <c r="L769" s="39" t="s">
        <v>186</v>
      </c>
      <c r="M769" s="699" t="s">
        <v>8</v>
      </c>
      <c r="N769" s="55" t="str">
        <f>IF(AND('331-CT'!$E$7=TH!H769,OR(L769="331",M769="331")),"x","")</f>
        <v/>
      </c>
      <c r="O769" s="55" t="str">
        <f>IF(AND($B769&gt;='111'!$N$11,$B769&lt;='111'!$O$11,OR($L769=$O$7,$M769=$O$7)),"x","")</f>
        <v/>
      </c>
      <c r="P769" s="55" t="str">
        <f>IF(AND($L769=$O$7,$B769&lt;'111'!$N$11),"x","")</f>
        <v/>
      </c>
      <c r="Q769" s="55" t="str">
        <f>IF(AND($M769=$O$7,$B769&lt;'111'!$N$11),"x","")</f>
        <v/>
      </c>
      <c r="R769" s="55" t="str">
        <f>IF(ISERROR(FIND('112'!$M$9,G769,1)),"",IF((AND(FIND('112'!$M$9,G769,1)&gt;=1,$B769&gt;='112'!$N$8,$B769&lt;='112'!$O$8,OR($L769='112'!$I$6,$M769='112'!$I$6))),"x",""))</f>
        <v/>
      </c>
      <c r="S769" s="55" t="str">
        <f>IF(ISERROR(FIND('112'!$M$9,G769,1)),"",IF((AND(LEFT(G769,2)=LEFT('112'!$M$9,2),B769&lt;'112'!$N$8,$L769='112'!$I$6)),"x",""))</f>
        <v/>
      </c>
      <c r="T769" s="55" t="str">
        <f>IF(ISERROR(FIND('112'!$M$9,G769,1)),"",IF((AND(RIGHT(G769,2)=RIGHT('112'!$M$9,2),B769&lt;'112'!$N$8,$M769='112'!$I$6)),"x",""))</f>
        <v/>
      </c>
      <c r="U769" s="55" t="str">
        <f>IF(AND('3411-CT'!$F$9=H769,OR(LEFT(L769,3)=$U$7,LEFT(M769,3)=$U$7)),"x","")</f>
        <v/>
      </c>
      <c r="V769" s="55" t="str">
        <f>IF(OR(TH!L769=TH!$V$7,M769=TH!$V$7),"x","")</f>
        <v/>
      </c>
      <c r="W769" s="55" t="str">
        <f>IF(AND(OR(L769="131",M769="131"),H769='131-CT'!$E$7),"x","")</f>
        <v/>
      </c>
      <c r="X769" s="55" t="str">
        <f>IF(AND(B769&gt;='IN-NX'!$P$3,B769&lt;='IN-NX'!$Q$3,'IN-NX'!$D$7=D769,OR(LEFT(TH!L769,2)="15",LEFT(TH!M769,2)="15")),"x","")</f>
        <v/>
      </c>
      <c r="Y769" s="55" t="str">
        <f>IF(AND(OR(LEFT(TH!L769,2)="15",LEFT(TH!M769,2)="15"),'152-CT'!$J$8=TH!F769),"x","")</f>
        <v/>
      </c>
      <c r="Z769" s="55" t="str">
        <f>IF(AND(OR(LEFT(TH!L769,2)="15",LEFT(TH!M769,2)="15"),TK!$E$7=TH!F769),"x","")</f>
        <v/>
      </c>
      <c r="AA769" s="55" t="str">
        <f>IF(AND(B769&lt;=NKC!$N$8,B769&gt;=NKC!$M$8),"x","")</f>
        <v/>
      </c>
      <c r="AC769" s="226" t="str">
        <f>IF(ISNA(VLOOKUP(F769,NXT!$C$18:$C$347,1,0)),x,"")</f>
        <v/>
      </c>
    </row>
    <row r="770" spans="1:29" s="226" customFormat="1" ht="15.75" customHeight="1">
      <c r="A770" s="219" t="str">
        <f>IF(B770&lt;&gt;"",IF(AND(B770&gt;=_TM1,B770&lt;=_TM2,OR(TH!L770="1111",TH!M770="1111")),TH!D770,""),"")</f>
        <v/>
      </c>
      <c r="B770" s="36">
        <f t="shared" si="33"/>
        <v>8</v>
      </c>
      <c r="C770" s="37">
        <v>41150</v>
      </c>
      <c r="D770" s="205" t="s">
        <v>540</v>
      </c>
      <c r="E770" s="37">
        <v>41150</v>
      </c>
      <c r="F770" s="40" t="s">
        <v>1046</v>
      </c>
      <c r="G770" s="40" t="s">
        <v>1045</v>
      </c>
      <c r="H770" s="7" t="s">
        <v>487</v>
      </c>
      <c r="I770" s="277">
        <v>350</v>
      </c>
      <c r="J770" s="277">
        <v>19499</v>
      </c>
      <c r="K770" s="38">
        <v>6824650</v>
      </c>
      <c r="L770" s="39" t="s">
        <v>186</v>
      </c>
      <c r="M770" s="699" t="s">
        <v>8</v>
      </c>
      <c r="N770" s="55" t="str">
        <f>IF(AND('331-CT'!$E$7=TH!H770,OR(L770="331",M770="331")),"x","")</f>
        <v/>
      </c>
      <c r="O770" s="55" t="str">
        <f>IF(AND($B770&gt;='111'!$N$11,$B770&lt;='111'!$O$11,OR($L770=$O$7,$M770=$O$7)),"x","")</f>
        <v/>
      </c>
      <c r="P770" s="55" t="str">
        <f>IF(AND($L770=$O$7,$B770&lt;'111'!$N$11),"x","")</f>
        <v/>
      </c>
      <c r="Q770" s="55" t="str">
        <f>IF(AND($M770=$O$7,$B770&lt;'111'!$N$11),"x","")</f>
        <v/>
      </c>
      <c r="R770" s="55" t="str">
        <f>IF(ISERROR(FIND('112'!$M$9,G770,1)),"",IF((AND(FIND('112'!$M$9,G770,1)&gt;=1,$B770&gt;='112'!$N$8,$B770&lt;='112'!$O$8,OR($L770='112'!$I$6,$M770='112'!$I$6))),"x",""))</f>
        <v/>
      </c>
      <c r="S770" s="55" t="str">
        <f>IF(ISERROR(FIND('112'!$M$9,G770,1)),"",IF((AND(LEFT(G770,2)=LEFT('112'!$M$9,2),B770&lt;'112'!$N$8,$L770='112'!$I$6)),"x",""))</f>
        <v/>
      </c>
      <c r="T770" s="55" t="str">
        <f>IF(ISERROR(FIND('112'!$M$9,G770,1)),"",IF((AND(RIGHT(G770,2)=RIGHT('112'!$M$9,2),B770&lt;'112'!$N$8,$M770='112'!$I$6)),"x",""))</f>
        <v/>
      </c>
      <c r="U770" s="55" t="str">
        <f>IF(AND('3411-CT'!$F$9=H770,OR(LEFT(L770,3)=$U$7,LEFT(M770,3)=$U$7)),"x","")</f>
        <v/>
      </c>
      <c r="V770" s="55" t="str">
        <f>IF(OR(TH!L770=TH!$V$7,M770=TH!$V$7),"x","")</f>
        <v/>
      </c>
      <c r="W770" s="55" t="str">
        <f>IF(AND(OR(L770="131",M770="131"),H770='131-CT'!$E$7),"x","")</f>
        <v/>
      </c>
      <c r="X770" s="55" t="str">
        <f>IF(AND(B770&gt;='IN-NX'!$P$3,B770&lt;='IN-NX'!$Q$3,'IN-NX'!$D$7=D770,OR(LEFT(TH!L770,2)="15",LEFT(TH!M770,2)="15")),"x","")</f>
        <v/>
      </c>
      <c r="Y770" s="55" t="str">
        <f>IF(AND(OR(LEFT(TH!L770,2)="15",LEFT(TH!M770,2)="15"),'152-CT'!$J$8=TH!F770),"x","")</f>
        <v/>
      </c>
      <c r="Z770" s="55" t="str">
        <f>IF(AND(OR(LEFT(TH!L770,2)="15",LEFT(TH!M770,2)="15"),TK!$E$7=TH!F770),"x","")</f>
        <v/>
      </c>
      <c r="AA770" s="55" t="str">
        <f>IF(AND(B770&lt;=NKC!$N$8,B770&gt;=NKC!$M$8),"x","")</f>
        <v/>
      </c>
      <c r="AC770" s="226" t="str">
        <f>IF(ISNA(VLOOKUP(F770,NXT!$C$18:$C$347,1,0)),x,"")</f>
        <v/>
      </c>
    </row>
    <row r="771" spans="1:29" s="226" customFormat="1" ht="15.75" customHeight="1">
      <c r="A771" s="219" t="str">
        <f>IF(B771&lt;&gt;"",IF(AND(B771&gt;=_TM1,B771&lt;=_TM2,OR(TH!L771="1111",TH!M771="1111")),TH!D771,""),"")</f>
        <v/>
      </c>
      <c r="B771" s="36">
        <f t="shared" si="33"/>
        <v>8</v>
      </c>
      <c r="C771" s="37">
        <v>41150</v>
      </c>
      <c r="D771" s="205" t="s">
        <v>540</v>
      </c>
      <c r="E771" s="37">
        <v>41150</v>
      </c>
      <c r="F771" s="40" t="s">
        <v>1017</v>
      </c>
      <c r="G771" s="40" t="s">
        <v>1045</v>
      </c>
      <c r="H771" s="7" t="s">
        <v>487</v>
      </c>
      <c r="I771" s="277">
        <v>200</v>
      </c>
      <c r="J771" s="277">
        <v>20992</v>
      </c>
      <c r="K771" s="38">
        <v>4198400</v>
      </c>
      <c r="L771" s="39" t="s">
        <v>186</v>
      </c>
      <c r="M771" s="699" t="s">
        <v>8</v>
      </c>
      <c r="N771" s="55" t="str">
        <f>IF(AND('331-CT'!$E$7=TH!H771,OR(L771="331",M771="331")),"x","")</f>
        <v/>
      </c>
      <c r="O771" s="55" t="str">
        <f>IF(AND($B771&gt;='111'!$N$11,$B771&lt;='111'!$O$11,OR($L771=$O$7,$M771=$O$7)),"x","")</f>
        <v/>
      </c>
      <c r="P771" s="55" t="str">
        <f>IF(AND($L771=$O$7,$B771&lt;'111'!$N$11),"x","")</f>
        <v/>
      </c>
      <c r="Q771" s="55" t="str">
        <f>IF(AND($M771=$O$7,$B771&lt;'111'!$N$11),"x","")</f>
        <v/>
      </c>
      <c r="R771" s="55" t="str">
        <f>IF(ISERROR(FIND('112'!$M$9,G771,1)),"",IF((AND(FIND('112'!$M$9,G771,1)&gt;=1,$B771&gt;='112'!$N$8,$B771&lt;='112'!$O$8,OR($L771='112'!$I$6,$M771='112'!$I$6))),"x",""))</f>
        <v/>
      </c>
      <c r="S771" s="55" t="str">
        <f>IF(ISERROR(FIND('112'!$M$9,G771,1)),"",IF((AND(LEFT(G771,2)=LEFT('112'!$M$9,2),B771&lt;'112'!$N$8,$L771='112'!$I$6)),"x",""))</f>
        <v/>
      </c>
      <c r="T771" s="55" t="str">
        <f>IF(ISERROR(FIND('112'!$M$9,G771,1)),"",IF((AND(RIGHT(G771,2)=RIGHT('112'!$M$9,2),B771&lt;'112'!$N$8,$M771='112'!$I$6)),"x",""))</f>
        <v/>
      </c>
      <c r="U771" s="55" t="str">
        <f>IF(AND('3411-CT'!$F$9=H771,OR(LEFT(L771,3)=$U$7,LEFT(M771,3)=$U$7)),"x","")</f>
        <v/>
      </c>
      <c r="V771" s="55" t="str">
        <f>IF(OR(TH!L771=TH!$V$7,M771=TH!$V$7),"x","")</f>
        <v/>
      </c>
      <c r="W771" s="55" t="str">
        <f>IF(AND(OR(L771="131",M771="131"),H771='131-CT'!$E$7),"x","")</f>
        <v/>
      </c>
      <c r="X771" s="55" t="str">
        <f>IF(AND(B771&gt;='IN-NX'!$P$3,B771&lt;='IN-NX'!$Q$3,'IN-NX'!$D$7=D771,OR(LEFT(TH!L771,2)="15",LEFT(TH!M771,2)="15")),"x","")</f>
        <v/>
      </c>
      <c r="Y771" s="55" t="str">
        <f>IF(AND(OR(LEFT(TH!L771,2)="15",LEFT(TH!M771,2)="15"),'152-CT'!$J$8=TH!F771),"x","")</f>
        <v/>
      </c>
      <c r="Z771" s="55" t="str">
        <f>IF(AND(OR(LEFT(TH!L771,2)="15",LEFT(TH!M771,2)="15"),TK!$E$7=TH!F771),"x","")</f>
        <v/>
      </c>
      <c r="AA771" s="55" t="str">
        <f>IF(AND(B771&lt;=NKC!$N$8,B771&gt;=NKC!$M$8),"x","")</f>
        <v/>
      </c>
      <c r="AC771" s="226" t="str">
        <f>IF(ISNA(VLOOKUP(F771,NXT!$C$18:$C$347,1,0)),x,"")</f>
        <v/>
      </c>
    </row>
    <row r="772" spans="1:29" s="226" customFormat="1" ht="15.75" customHeight="1">
      <c r="A772" s="219" t="str">
        <f>IF(B772&lt;&gt;"",IF(AND(B772&gt;=_TM1,B772&lt;=_TM2,OR(TH!L772="1111",TH!M772="1111")),TH!D772,""),"")</f>
        <v/>
      </c>
      <c r="B772" s="36">
        <f t="shared" si="33"/>
        <v>8</v>
      </c>
      <c r="C772" s="37">
        <v>41150</v>
      </c>
      <c r="D772" s="205" t="s">
        <v>540</v>
      </c>
      <c r="E772" s="37">
        <v>41150</v>
      </c>
      <c r="F772" s="40" t="s">
        <v>1047</v>
      </c>
      <c r="G772" s="40" t="s">
        <v>1045</v>
      </c>
      <c r="H772" s="7" t="s">
        <v>487</v>
      </c>
      <c r="I772" s="278">
        <v>100</v>
      </c>
      <c r="J772" s="278">
        <v>5783</v>
      </c>
      <c r="K772" s="38">
        <v>578300</v>
      </c>
      <c r="L772" s="39" t="s">
        <v>186</v>
      </c>
      <c r="M772" s="699" t="s">
        <v>8</v>
      </c>
      <c r="N772" s="55" t="str">
        <f>IF(AND('331-CT'!$E$7=TH!H772,OR(L772="331",M772="331")),"x","")</f>
        <v/>
      </c>
      <c r="O772" s="55" t="str">
        <f>IF(AND($B772&gt;='111'!$N$11,$B772&lt;='111'!$O$11,OR($L772=$O$7,$M772=$O$7)),"x","")</f>
        <v/>
      </c>
      <c r="P772" s="55" t="str">
        <f>IF(AND($L772=$O$7,$B772&lt;'111'!$N$11),"x","")</f>
        <v/>
      </c>
      <c r="Q772" s="55" t="str">
        <f>IF(AND($M772=$O$7,$B772&lt;'111'!$N$11),"x","")</f>
        <v/>
      </c>
      <c r="R772" s="55" t="str">
        <f>IF(ISERROR(FIND('112'!$M$9,G772,1)),"",IF((AND(FIND('112'!$M$9,G772,1)&gt;=1,$B772&gt;='112'!$N$8,$B772&lt;='112'!$O$8,OR($L772='112'!$I$6,$M772='112'!$I$6))),"x",""))</f>
        <v/>
      </c>
      <c r="S772" s="55" t="str">
        <f>IF(ISERROR(FIND('112'!$M$9,G772,1)),"",IF((AND(LEFT(G772,2)=LEFT('112'!$M$9,2),B772&lt;'112'!$N$8,$L772='112'!$I$6)),"x",""))</f>
        <v/>
      </c>
      <c r="T772" s="55" t="str">
        <f>IF(ISERROR(FIND('112'!$M$9,G772,1)),"",IF((AND(RIGHT(G772,2)=RIGHT('112'!$M$9,2),B772&lt;'112'!$N$8,$M772='112'!$I$6)),"x",""))</f>
        <v/>
      </c>
      <c r="U772" s="55" t="str">
        <f>IF(AND('3411-CT'!$F$9=H772,OR(LEFT(L772,3)=$U$7,LEFT(M772,3)=$U$7)),"x","")</f>
        <v/>
      </c>
      <c r="V772" s="55" t="str">
        <f>IF(OR(TH!L772=TH!$V$7,M772=TH!$V$7),"x","")</f>
        <v/>
      </c>
      <c r="W772" s="55" t="str">
        <f>IF(AND(OR(L772="131",M772="131"),H772='131-CT'!$E$7),"x","")</f>
        <v/>
      </c>
      <c r="X772" s="55" t="str">
        <f>IF(AND(B772&gt;='IN-NX'!$P$3,B772&lt;='IN-NX'!$Q$3,'IN-NX'!$D$7=D772,OR(LEFT(TH!L772,2)="15",LEFT(TH!M772,2)="15")),"x","")</f>
        <v/>
      </c>
      <c r="Y772" s="55" t="str">
        <f>IF(AND(OR(LEFT(TH!L772,2)="15",LEFT(TH!M772,2)="15"),'152-CT'!$J$8=TH!F772),"x","")</f>
        <v/>
      </c>
      <c r="Z772" s="55" t="str">
        <f>IF(AND(OR(LEFT(TH!L772,2)="15",LEFT(TH!M772,2)="15"),TK!$E$7=TH!F772),"x","")</f>
        <v/>
      </c>
      <c r="AA772" s="55" t="str">
        <f>IF(AND(B772&lt;=NKC!$N$8,B772&gt;=NKC!$M$8),"x","")</f>
        <v/>
      </c>
      <c r="AC772" s="226" t="str">
        <f>IF(ISNA(VLOOKUP(F772,NXT!$C$18:$C$347,1,0)),x,"")</f>
        <v/>
      </c>
    </row>
    <row r="773" spans="1:29" s="226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34">IF(C773&lt;&gt;"",MONTH(C773),"")</f>
        <v>8</v>
      </c>
      <c r="C773" s="37">
        <v>41150</v>
      </c>
      <c r="D773" s="205" t="s">
        <v>540</v>
      </c>
      <c r="E773" s="37">
        <v>41150</v>
      </c>
      <c r="F773" s="40" t="s">
        <v>1048</v>
      </c>
      <c r="G773" s="40" t="s">
        <v>1045</v>
      </c>
      <c r="H773" s="7" t="s">
        <v>487</v>
      </c>
      <c r="I773" s="277">
        <v>100</v>
      </c>
      <c r="J773" s="277">
        <v>28596</v>
      </c>
      <c r="K773" s="38">
        <v>2859600</v>
      </c>
      <c r="L773" s="39" t="s">
        <v>186</v>
      </c>
      <c r="M773" s="699" t="s">
        <v>8</v>
      </c>
      <c r="N773" s="55" t="str">
        <f>IF(AND('331-CT'!$E$7=TH!H773,OR(L773="331",M773="331")),"x","")</f>
        <v/>
      </c>
      <c r="O773" s="55" t="str">
        <f>IF(AND($B773&gt;='111'!$N$11,$B773&lt;='111'!$O$11,OR($L773=$O$7,$M773=$O$7)),"x","")</f>
        <v/>
      </c>
      <c r="P773" s="55" t="str">
        <f>IF(AND($L773=$O$7,$B773&lt;'111'!$N$11),"x","")</f>
        <v/>
      </c>
      <c r="Q773" s="55" t="str">
        <f>IF(AND($M773=$O$7,$B773&lt;'111'!$N$11),"x","")</f>
        <v/>
      </c>
      <c r="R773" s="55" t="str">
        <f>IF(ISERROR(FIND('112'!$M$9,G773,1)),"",IF((AND(FIND('112'!$M$9,G773,1)&gt;=1,$B773&gt;='112'!$N$8,$B773&lt;='112'!$O$8,OR($L773='112'!$I$6,$M773='112'!$I$6))),"x",""))</f>
        <v/>
      </c>
      <c r="S773" s="55" t="str">
        <f>IF(ISERROR(FIND('112'!$M$9,G773,1)),"",IF((AND(LEFT(G773,2)=LEFT('112'!$M$9,2),B773&lt;'112'!$N$8,$L773='112'!$I$6)),"x",""))</f>
        <v/>
      </c>
      <c r="T773" s="55" t="str">
        <f>IF(ISERROR(FIND('112'!$M$9,G773,1)),"",IF((AND(RIGHT(G773,2)=RIGHT('112'!$M$9,2),B773&lt;'112'!$N$8,$M773='112'!$I$6)),"x",""))</f>
        <v/>
      </c>
      <c r="U773" s="55" t="str">
        <f>IF(AND('3411-CT'!$F$9=H773,OR(LEFT(L773,3)=$U$7,LEFT(M773,3)=$U$7)),"x","")</f>
        <v/>
      </c>
      <c r="V773" s="55" t="str">
        <f>IF(OR(TH!L773=TH!$V$7,M773=TH!$V$7),"x","")</f>
        <v/>
      </c>
      <c r="W773" s="55" t="str">
        <f>IF(AND(OR(L773="131",M773="131"),H773='131-CT'!$E$7),"x","")</f>
        <v/>
      </c>
      <c r="X773" s="55" t="str">
        <f>IF(AND(B773&gt;='IN-NX'!$P$3,B773&lt;='IN-NX'!$Q$3,'IN-NX'!$D$7=D773,OR(LEFT(TH!L773,2)="15",LEFT(TH!M773,2)="15")),"x","")</f>
        <v/>
      </c>
      <c r="Y773" s="55" t="str">
        <f>IF(AND(OR(LEFT(TH!L773,2)="15",LEFT(TH!M773,2)="15"),'152-CT'!$J$8=TH!F773),"x","")</f>
        <v/>
      </c>
      <c r="Z773" s="55" t="str">
        <f>IF(AND(OR(LEFT(TH!L773,2)="15",LEFT(TH!M773,2)="15"),TK!$E$7=TH!F773),"x","")</f>
        <v/>
      </c>
      <c r="AA773" s="55" t="str">
        <f>IF(AND(B773&lt;=NKC!$N$8,B773&gt;=NKC!$M$8),"x","")</f>
        <v/>
      </c>
      <c r="AC773" s="226" t="str">
        <f>IF(ISNA(VLOOKUP(F773,NXT!$C$18:$C$347,1,0)),x,"")</f>
        <v/>
      </c>
    </row>
    <row r="774" spans="1:29" s="226" customFormat="1" ht="15.75" customHeight="1">
      <c r="A774" s="219" t="str">
        <f>IF(B774&lt;&gt;"",IF(AND(B774&gt;=_TM1,B774&lt;=_TM2,OR(TH!L774="1111",TH!M774="1111")),TH!D774,""),"")</f>
        <v/>
      </c>
      <c r="B774" s="36">
        <f t="shared" si="34"/>
        <v>8</v>
      </c>
      <c r="C774" s="37">
        <v>41150</v>
      </c>
      <c r="D774" s="205" t="s">
        <v>540</v>
      </c>
      <c r="E774" s="37">
        <v>41150</v>
      </c>
      <c r="F774" s="40" t="s">
        <v>573</v>
      </c>
      <c r="G774" s="40" t="s">
        <v>1045</v>
      </c>
      <c r="H774" s="7" t="s">
        <v>487</v>
      </c>
      <c r="I774" s="277"/>
      <c r="J774" s="277"/>
      <c r="K774" s="38">
        <v>2131465</v>
      </c>
      <c r="L774" s="39" t="s">
        <v>9</v>
      </c>
      <c r="M774" s="699" t="s">
        <v>8</v>
      </c>
      <c r="N774" s="55" t="str">
        <f>IF(AND('331-CT'!$E$7=TH!H774,OR(L774="331",M774="331")),"x","")</f>
        <v/>
      </c>
      <c r="O774" s="55" t="str">
        <f>IF(AND($B774&gt;='111'!$N$11,$B774&lt;='111'!$O$11,OR($L774=$O$7,$M774=$O$7)),"x","")</f>
        <v/>
      </c>
      <c r="P774" s="55" t="str">
        <f>IF(AND($L774=$O$7,$B774&lt;'111'!$N$11),"x","")</f>
        <v/>
      </c>
      <c r="Q774" s="55" t="str">
        <f>IF(AND($M774=$O$7,$B774&lt;'111'!$N$11),"x","")</f>
        <v/>
      </c>
      <c r="R774" s="55" t="str">
        <f>IF(ISERROR(FIND('112'!$M$9,G774,1)),"",IF((AND(FIND('112'!$M$9,G774,1)&gt;=1,$B774&gt;='112'!$N$8,$B774&lt;='112'!$O$8,OR($L774='112'!$I$6,$M774='112'!$I$6))),"x",""))</f>
        <v/>
      </c>
      <c r="S774" s="55" t="str">
        <f>IF(ISERROR(FIND('112'!$M$9,G774,1)),"",IF((AND(LEFT(G774,2)=LEFT('112'!$M$9,2),B774&lt;'112'!$N$8,$L774='112'!$I$6)),"x",""))</f>
        <v/>
      </c>
      <c r="T774" s="55" t="str">
        <f>IF(ISERROR(FIND('112'!$M$9,G774,1)),"",IF((AND(RIGHT(G774,2)=RIGHT('112'!$M$9,2),B774&lt;'112'!$N$8,$M774='112'!$I$6)),"x",""))</f>
        <v/>
      </c>
      <c r="U774" s="55" t="str">
        <f>IF(AND('3411-CT'!$F$9=H774,OR(LEFT(L774,3)=$U$7,LEFT(M774,3)=$U$7)),"x","")</f>
        <v/>
      </c>
      <c r="V774" s="55" t="str">
        <f>IF(OR(TH!L774=TH!$V$7,M774=TH!$V$7),"x","")</f>
        <v/>
      </c>
      <c r="W774" s="55" t="str">
        <f>IF(AND(OR(L774="131",M774="131"),H774='131-CT'!$E$7),"x","")</f>
        <v/>
      </c>
      <c r="X774" s="55" t="str">
        <f>IF(AND(B774&gt;='IN-NX'!$P$3,B774&lt;='IN-NX'!$Q$3,'IN-NX'!$D$7=D774,OR(LEFT(TH!L774,2)="15",LEFT(TH!M774,2)="15")),"x","")</f>
        <v/>
      </c>
      <c r="Y774" s="55" t="str">
        <f>IF(AND(OR(LEFT(TH!L774,2)="15",LEFT(TH!M774,2)="15"),'152-CT'!$J$8=TH!F774),"x","")</f>
        <v/>
      </c>
      <c r="Z774" s="55" t="str">
        <f>IF(AND(OR(LEFT(TH!L774,2)="15",LEFT(TH!M774,2)="15"),TK!$E$7=TH!F774),"x","")</f>
        <v/>
      </c>
      <c r="AA774" s="55" t="str">
        <f>IF(AND(B774&lt;=NKC!$N$8,B774&gt;=NKC!$M$8),"x","")</f>
        <v/>
      </c>
    </row>
    <row r="775" spans="1:29" s="226" customFormat="1" ht="15.75" customHeight="1">
      <c r="A775" s="219" t="str">
        <f>IF(B775&lt;&gt;"",IF(AND(B775&gt;=_TM1,B775&lt;=_TM2,OR(TH!L775="1111",TH!M775="1111")),TH!D775,""),"")</f>
        <v/>
      </c>
      <c r="B775" s="36">
        <f t="shared" si="34"/>
        <v>8</v>
      </c>
      <c r="C775" s="37">
        <v>41151</v>
      </c>
      <c r="D775" s="205" t="s">
        <v>541</v>
      </c>
      <c r="E775" s="37">
        <v>41151</v>
      </c>
      <c r="F775" s="40" t="s">
        <v>1049</v>
      </c>
      <c r="G775" s="40" t="s">
        <v>1050</v>
      </c>
      <c r="H775" s="7" t="s">
        <v>487</v>
      </c>
      <c r="I775" s="277">
        <v>750</v>
      </c>
      <c r="J775" s="277">
        <v>22321</v>
      </c>
      <c r="K775" s="38">
        <v>16740750</v>
      </c>
      <c r="L775" s="39" t="s">
        <v>186</v>
      </c>
      <c r="M775" s="699" t="s">
        <v>8</v>
      </c>
      <c r="N775" s="55" t="str">
        <f>IF(AND('331-CT'!$E$7=TH!H775,OR(L775="331",M775="331")),"x","")</f>
        <v/>
      </c>
      <c r="O775" s="55" t="str">
        <f>IF(AND($B775&gt;='111'!$N$11,$B775&lt;='111'!$O$11,OR($L775=$O$7,$M775=$O$7)),"x","")</f>
        <v/>
      </c>
      <c r="P775" s="55" t="str">
        <f>IF(AND($L775=$O$7,$B775&lt;'111'!$N$11),"x","")</f>
        <v/>
      </c>
      <c r="Q775" s="55" t="str">
        <f>IF(AND($M775=$O$7,$B775&lt;'111'!$N$11),"x","")</f>
        <v/>
      </c>
      <c r="R775" s="55" t="str">
        <f>IF(ISERROR(FIND('112'!$M$9,G775,1)),"",IF((AND(FIND('112'!$M$9,G775,1)&gt;=1,$B775&gt;='112'!$N$8,$B775&lt;='112'!$O$8,OR($L775='112'!$I$6,$M775='112'!$I$6))),"x",""))</f>
        <v/>
      </c>
      <c r="S775" s="55" t="str">
        <f>IF(ISERROR(FIND('112'!$M$9,G775,1)),"",IF((AND(LEFT(G775,2)=LEFT('112'!$M$9,2),B775&lt;'112'!$N$8,$L775='112'!$I$6)),"x",""))</f>
        <v/>
      </c>
      <c r="T775" s="55" t="str">
        <f>IF(ISERROR(FIND('112'!$M$9,G775,1)),"",IF((AND(RIGHT(G775,2)=RIGHT('112'!$M$9,2),B775&lt;'112'!$N$8,$M775='112'!$I$6)),"x",""))</f>
        <v/>
      </c>
      <c r="U775" s="55" t="str">
        <f>IF(AND('3411-CT'!$F$9=H775,OR(LEFT(L775,3)=$U$7,LEFT(M775,3)=$U$7)),"x","")</f>
        <v/>
      </c>
      <c r="V775" s="55" t="str">
        <f>IF(OR(TH!L775=TH!$V$7,M775=TH!$V$7),"x","")</f>
        <v/>
      </c>
      <c r="W775" s="55" t="str">
        <f>IF(AND(OR(L775="131",M775="131"),H775='131-CT'!$E$7),"x","")</f>
        <v/>
      </c>
      <c r="X775" s="55" t="str">
        <f>IF(AND(B775&gt;='IN-NX'!$P$3,B775&lt;='IN-NX'!$Q$3,'IN-NX'!$D$7=D775,OR(LEFT(TH!L775,2)="15",LEFT(TH!M775,2)="15")),"x","")</f>
        <v/>
      </c>
      <c r="Y775" s="55" t="str">
        <f>IF(AND(OR(LEFT(TH!L775,2)="15",LEFT(TH!M775,2)="15"),'152-CT'!$J$8=TH!F775),"x","")</f>
        <v/>
      </c>
      <c r="Z775" s="55" t="str">
        <f>IF(AND(OR(LEFT(TH!L775,2)="15",LEFT(TH!M775,2)="15"),TK!$E$7=TH!F775),"x","")</f>
        <v/>
      </c>
      <c r="AA775" s="55" t="str">
        <f>IF(AND(B775&lt;=NKC!$N$8,B775&gt;=NKC!$M$8),"x","")</f>
        <v/>
      </c>
      <c r="AC775" s="226" t="str">
        <f>IF(ISNA(VLOOKUP(F775,NXT!$C$18:$C$347,1,0)),x,"")</f>
        <v/>
      </c>
    </row>
    <row r="776" spans="1:29" s="226" customFormat="1" ht="15.75" customHeight="1">
      <c r="A776" s="219" t="str">
        <f>IF(B776&lt;&gt;"",IF(AND(B776&gt;=_TM1,B776&lt;=_TM2,OR(TH!L776="1111",TH!M776="1111")),TH!D776,""),"")</f>
        <v/>
      </c>
      <c r="B776" s="36">
        <f t="shared" si="34"/>
        <v>8</v>
      </c>
      <c r="C776" s="37">
        <v>41151</v>
      </c>
      <c r="D776" s="205" t="s">
        <v>541</v>
      </c>
      <c r="E776" s="37">
        <v>41151</v>
      </c>
      <c r="F776" s="40" t="s">
        <v>1002</v>
      </c>
      <c r="G776" s="40" t="s">
        <v>1050</v>
      </c>
      <c r="H776" s="7" t="s">
        <v>487</v>
      </c>
      <c r="I776" s="277">
        <v>130</v>
      </c>
      <c r="J776" s="277">
        <v>19950</v>
      </c>
      <c r="K776" s="38">
        <v>2593500</v>
      </c>
      <c r="L776" s="39" t="s">
        <v>186</v>
      </c>
      <c r="M776" s="699" t="s">
        <v>8</v>
      </c>
      <c r="N776" s="55" t="str">
        <f>IF(AND('331-CT'!$E$7=TH!H776,OR(L776="331",M776="331")),"x","")</f>
        <v/>
      </c>
      <c r="O776" s="55" t="str">
        <f>IF(AND($B776&gt;='111'!$N$11,$B776&lt;='111'!$O$11,OR($L776=$O$7,$M776=$O$7)),"x","")</f>
        <v/>
      </c>
      <c r="P776" s="55" t="str">
        <f>IF(AND($L776=$O$7,$B776&lt;'111'!$N$11),"x","")</f>
        <v/>
      </c>
      <c r="Q776" s="55" t="str">
        <f>IF(AND($M776=$O$7,$B776&lt;'111'!$N$11),"x","")</f>
        <v/>
      </c>
      <c r="R776" s="55" t="str">
        <f>IF(ISERROR(FIND('112'!$M$9,G776,1)),"",IF((AND(FIND('112'!$M$9,G776,1)&gt;=1,$B776&gt;='112'!$N$8,$B776&lt;='112'!$O$8,OR($L776='112'!$I$6,$M776='112'!$I$6))),"x",""))</f>
        <v/>
      </c>
      <c r="S776" s="55" t="str">
        <f>IF(ISERROR(FIND('112'!$M$9,G776,1)),"",IF((AND(LEFT(G776,2)=LEFT('112'!$M$9,2),B776&lt;'112'!$N$8,$L776='112'!$I$6)),"x",""))</f>
        <v/>
      </c>
      <c r="T776" s="55" t="str">
        <f>IF(ISERROR(FIND('112'!$M$9,G776,1)),"",IF((AND(RIGHT(G776,2)=RIGHT('112'!$M$9,2),B776&lt;'112'!$N$8,$M776='112'!$I$6)),"x",""))</f>
        <v/>
      </c>
      <c r="U776" s="55" t="str">
        <f>IF(AND('3411-CT'!$F$9=H776,OR(LEFT(L776,3)=$U$7,LEFT(M776,3)=$U$7)),"x","")</f>
        <v/>
      </c>
      <c r="V776" s="55" t="str">
        <f>IF(OR(TH!L776=TH!$V$7,M776=TH!$V$7),"x","")</f>
        <v/>
      </c>
      <c r="W776" s="55" t="str">
        <f>IF(AND(OR(L776="131",M776="131"),H776='131-CT'!$E$7),"x","")</f>
        <v/>
      </c>
      <c r="X776" s="55" t="str">
        <f>IF(AND(B776&gt;='IN-NX'!$P$3,B776&lt;='IN-NX'!$Q$3,'IN-NX'!$D$7=D776,OR(LEFT(TH!L776,2)="15",LEFT(TH!M776,2)="15")),"x","")</f>
        <v/>
      </c>
      <c r="Y776" s="55" t="str">
        <f>IF(AND(OR(LEFT(TH!L776,2)="15",LEFT(TH!M776,2)="15"),'152-CT'!$J$8=TH!F776),"x","")</f>
        <v/>
      </c>
      <c r="Z776" s="55" t="str">
        <f>IF(AND(OR(LEFT(TH!L776,2)="15",LEFT(TH!M776,2)="15"),TK!$E$7=TH!F776),"x","")</f>
        <v/>
      </c>
      <c r="AA776" s="55" t="str">
        <f>IF(AND(B776&lt;=NKC!$N$8,B776&gt;=NKC!$M$8),"x","")</f>
        <v/>
      </c>
      <c r="AC776" s="226" t="str">
        <f>IF(ISNA(VLOOKUP(F776,NXT!$C$18:$C$347,1,0)),x,"")</f>
        <v/>
      </c>
    </row>
    <row r="777" spans="1:29" s="226" customFormat="1" ht="15.75" customHeight="1">
      <c r="A777" s="219" t="str">
        <f>IF(B777&lt;&gt;"",IF(AND(B777&gt;=_TM1,B777&lt;=_TM2,OR(TH!L777="1111",TH!M777="1111")),TH!D777,""),"")</f>
        <v/>
      </c>
      <c r="B777" s="36">
        <f t="shared" si="34"/>
        <v>8</v>
      </c>
      <c r="C777" s="37">
        <v>41151</v>
      </c>
      <c r="D777" s="205" t="s">
        <v>541</v>
      </c>
      <c r="E777" s="37">
        <v>41151</v>
      </c>
      <c r="F777" s="40" t="s">
        <v>793</v>
      </c>
      <c r="G777" s="40" t="s">
        <v>1050</v>
      </c>
      <c r="H777" s="7" t="s">
        <v>487</v>
      </c>
      <c r="I777" s="278">
        <v>555</v>
      </c>
      <c r="J777" s="278">
        <v>18306</v>
      </c>
      <c r="K777" s="38">
        <v>10159830</v>
      </c>
      <c r="L777" s="39" t="s">
        <v>186</v>
      </c>
      <c r="M777" s="699" t="s">
        <v>8</v>
      </c>
      <c r="N777" s="55" t="str">
        <f>IF(AND('331-CT'!$E$7=TH!H777,OR(L777="331",M777="331")),"x","")</f>
        <v/>
      </c>
      <c r="O777" s="55" t="str">
        <f>IF(AND($B777&gt;='111'!$N$11,$B777&lt;='111'!$O$11,OR($L777=$O$7,$M777=$O$7)),"x","")</f>
        <v/>
      </c>
      <c r="P777" s="55" t="str">
        <f>IF(AND($L777=$O$7,$B777&lt;'111'!$N$11),"x","")</f>
        <v/>
      </c>
      <c r="Q777" s="55" t="str">
        <f>IF(AND($M777=$O$7,$B777&lt;'111'!$N$11),"x","")</f>
        <v/>
      </c>
      <c r="R777" s="55" t="str">
        <f>IF(ISERROR(FIND('112'!$M$9,G777,1)),"",IF((AND(FIND('112'!$M$9,G777,1)&gt;=1,$B777&gt;='112'!$N$8,$B777&lt;='112'!$O$8,OR($L777='112'!$I$6,$M777='112'!$I$6))),"x",""))</f>
        <v/>
      </c>
      <c r="S777" s="55" t="str">
        <f>IF(ISERROR(FIND('112'!$M$9,G777,1)),"",IF((AND(LEFT(G777,2)=LEFT('112'!$M$9,2),B777&lt;'112'!$N$8,$L777='112'!$I$6)),"x",""))</f>
        <v/>
      </c>
      <c r="T777" s="55" t="str">
        <f>IF(ISERROR(FIND('112'!$M$9,G777,1)),"",IF((AND(RIGHT(G777,2)=RIGHT('112'!$M$9,2),B777&lt;'112'!$N$8,$M777='112'!$I$6)),"x",""))</f>
        <v/>
      </c>
      <c r="U777" s="55" t="str">
        <f>IF(AND('3411-CT'!$F$9=H777,OR(LEFT(L777,3)=$U$7,LEFT(M777,3)=$U$7)),"x","")</f>
        <v/>
      </c>
      <c r="V777" s="55" t="str">
        <f>IF(OR(TH!L777=TH!$V$7,M777=TH!$V$7),"x","")</f>
        <v/>
      </c>
      <c r="W777" s="55" t="str">
        <f>IF(AND(OR(L777="131",M777="131"),H777='131-CT'!$E$7),"x","")</f>
        <v/>
      </c>
      <c r="X777" s="55" t="str">
        <f>IF(AND(B777&gt;='IN-NX'!$P$3,B777&lt;='IN-NX'!$Q$3,'IN-NX'!$D$7=D777,OR(LEFT(TH!L777,2)="15",LEFT(TH!M777,2)="15")),"x","")</f>
        <v/>
      </c>
      <c r="Y777" s="55" t="str">
        <f>IF(AND(OR(LEFT(TH!L777,2)="15",LEFT(TH!M777,2)="15"),'152-CT'!$J$8=TH!F777),"x","")</f>
        <v/>
      </c>
      <c r="Z777" s="55" t="str">
        <f>IF(AND(OR(LEFT(TH!L777,2)="15",LEFT(TH!M777,2)="15"),TK!$E$7=TH!F777),"x","")</f>
        <v/>
      </c>
      <c r="AA777" s="55" t="str">
        <f>IF(AND(B777&lt;=NKC!$N$8,B777&gt;=NKC!$M$8),"x","")</f>
        <v/>
      </c>
      <c r="AC777" s="226" t="str">
        <f>IF(ISNA(VLOOKUP(F777,NXT!$C$18:$C$347,1,0)),x,"")</f>
        <v/>
      </c>
    </row>
    <row r="778" spans="1:29" s="226" customFormat="1" ht="15.75" customHeight="1">
      <c r="A778" s="219" t="str">
        <f>IF(B778&lt;&gt;"",IF(AND(B778&gt;=_TM1,B778&lt;=_TM2,OR(TH!L778="1111",TH!M778="1111")),TH!D778,""),"")</f>
        <v/>
      </c>
      <c r="B778" s="36">
        <f t="shared" si="34"/>
        <v>8</v>
      </c>
      <c r="C778" s="37">
        <v>41151</v>
      </c>
      <c r="D778" s="205" t="s">
        <v>541</v>
      </c>
      <c r="E778" s="37">
        <v>41151</v>
      </c>
      <c r="F778" s="40" t="s">
        <v>573</v>
      </c>
      <c r="G778" s="40" t="s">
        <v>1050</v>
      </c>
      <c r="H778" s="7" t="s">
        <v>487</v>
      </c>
      <c r="I778" s="277"/>
      <c r="J778" s="277"/>
      <c r="K778" s="38">
        <v>2949408</v>
      </c>
      <c r="L778" s="39" t="s">
        <v>9</v>
      </c>
      <c r="M778" s="699" t="s">
        <v>8</v>
      </c>
      <c r="N778" s="55" t="str">
        <f>IF(AND('331-CT'!$E$7=TH!H778,OR(L778="331",M778="331")),"x","")</f>
        <v/>
      </c>
      <c r="O778" s="55" t="str">
        <f>IF(AND($B778&gt;='111'!$N$11,$B778&lt;='111'!$O$11,OR($L778=$O$7,$M778=$O$7)),"x","")</f>
        <v/>
      </c>
      <c r="P778" s="55" t="str">
        <f>IF(AND($L778=$O$7,$B778&lt;'111'!$N$11),"x","")</f>
        <v/>
      </c>
      <c r="Q778" s="55" t="str">
        <f>IF(AND($M778=$O$7,$B778&lt;'111'!$N$11),"x","")</f>
        <v/>
      </c>
      <c r="R778" s="55" t="str">
        <f>IF(ISERROR(FIND('112'!$M$9,G778,1)),"",IF((AND(FIND('112'!$M$9,G778,1)&gt;=1,$B778&gt;='112'!$N$8,$B778&lt;='112'!$O$8,OR($L778='112'!$I$6,$M778='112'!$I$6))),"x",""))</f>
        <v/>
      </c>
      <c r="S778" s="55" t="str">
        <f>IF(ISERROR(FIND('112'!$M$9,G778,1)),"",IF((AND(LEFT(G778,2)=LEFT('112'!$M$9,2),B778&lt;'112'!$N$8,$L778='112'!$I$6)),"x",""))</f>
        <v/>
      </c>
      <c r="T778" s="55" t="str">
        <f>IF(ISERROR(FIND('112'!$M$9,G778,1)),"",IF((AND(RIGHT(G778,2)=RIGHT('112'!$M$9,2),B778&lt;'112'!$N$8,$M778='112'!$I$6)),"x",""))</f>
        <v/>
      </c>
      <c r="U778" s="55" t="str">
        <f>IF(AND('3411-CT'!$F$9=H778,OR(LEFT(L778,3)=$U$7,LEFT(M778,3)=$U$7)),"x","")</f>
        <v/>
      </c>
      <c r="V778" s="55" t="str">
        <f>IF(OR(TH!L778=TH!$V$7,M778=TH!$V$7),"x","")</f>
        <v/>
      </c>
      <c r="W778" s="55" t="str">
        <f>IF(AND(OR(L778="131",M778="131"),H778='131-CT'!$E$7),"x","")</f>
        <v/>
      </c>
      <c r="X778" s="55" t="str">
        <f>IF(AND(B778&gt;='IN-NX'!$P$3,B778&lt;='IN-NX'!$Q$3,'IN-NX'!$D$7=D778,OR(LEFT(TH!L778,2)="15",LEFT(TH!M778,2)="15")),"x","")</f>
        <v/>
      </c>
      <c r="Y778" s="55" t="str">
        <f>IF(AND(OR(LEFT(TH!L778,2)="15",LEFT(TH!M778,2)="15"),'152-CT'!$J$8=TH!F778),"x","")</f>
        <v/>
      </c>
      <c r="Z778" s="55" t="str">
        <f>IF(AND(OR(LEFT(TH!L778,2)="15",LEFT(TH!M778,2)="15"),TK!$E$7=TH!F778),"x","")</f>
        <v/>
      </c>
      <c r="AA778" s="55" t="str">
        <f>IF(AND(B778&lt;=NKC!$N$8,B778&gt;=NKC!$M$8),"x","")</f>
        <v/>
      </c>
    </row>
    <row r="779" spans="1:29" s="226" customFormat="1" ht="15.75" customHeight="1">
      <c r="A779" s="219" t="str">
        <f>IF(B779&lt;&gt;"",IF(AND(B779&gt;=_TM1,B779&lt;=_TM2,OR(TH!L779="1111",TH!M779="1111")),TH!D779,""),"")</f>
        <v/>
      </c>
      <c r="B779" s="36">
        <f t="shared" si="34"/>
        <v>8</v>
      </c>
      <c r="C779" s="37">
        <v>41152</v>
      </c>
      <c r="D779" s="37" t="s">
        <v>501</v>
      </c>
      <c r="E779" s="37">
        <v>41152</v>
      </c>
      <c r="F779" s="40" t="s">
        <v>451</v>
      </c>
      <c r="G779" s="40" t="s">
        <v>401</v>
      </c>
      <c r="H779" s="225" t="s">
        <v>706</v>
      </c>
      <c r="I779" s="277"/>
      <c r="J779" s="277"/>
      <c r="K779" s="38">
        <v>5000000</v>
      </c>
      <c r="L779" s="39" t="s">
        <v>24</v>
      </c>
      <c r="M779" s="39" t="s">
        <v>49</v>
      </c>
      <c r="N779" s="55" t="str">
        <f>IF(AND('331-CT'!$E$7=TH!H779,OR(L779="331",M779="331")),"x","")</f>
        <v/>
      </c>
      <c r="O779" s="55" t="str">
        <f>IF(AND($B779&gt;='111'!$N$11,$B779&lt;='111'!$O$11,OR($L779=$O$7,$M779=$O$7)),"x","")</f>
        <v/>
      </c>
      <c r="P779" s="55" t="str">
        <f>IF(AND($L779=$O$7,$B779&lt;'111'!$N$11),"x","")</f>
        <v/>
      </c>
      <c r="Q779" s="55" t="str">
        <f>IF(AND($M779=$O$7,$B779&lt;'111'!$N$11),"x","")</f>
        <v>x</v>
      </c>
      <c r="R779" s="55" t="str">
        <f>IF(ISERROR(FIND('112'!$M$9,G779,1)),"",IF((AND(FIND('112'!$M$9,G779,1)&gt;=1,$B779&gt;='112'!$N$8,$B779&lt;='112'!$O$8,OR($L779='112'!$I$6,$M779='112'!$I$6))),"x",""))</f>
        <v>x</v>
      </c>
      <c r="S779" s="55" t="str">
        <f>IF(ISERROR(FIND('112'!$M$9,G779,1)),"",IF((AND(LEFT(G779,2)=LEFT('112'!$M$9,2),B779&lt;'112'!$N$8,$L779='112'!$I$6)),"x",""))</f>
        <v/>
      </c>
      <c r="T779" s="55" t="str">
        <f>IF(ISERROR(FIND('112'!$M$9,G779,1)),"",IF((AND(RIGHT(G779,2)=RIGHT('112'!$M$9,2),B779&lt;'112'!$N$8,$M779='112'!$I$6)),"x",""))</f>
        <v/>
      </c>
      <c r="U779" s="55" t="str">
        <f>IF(AND('3411-CT'!$F$9=H779,OR(LEFT(L779,3)=$U$7,LEFT(M779,3)=$U$7)),"x","")</f>
        <v/>
      </c>
      <c r="V779" s="55" t="str">
        <f>IF(OR(TH!L779=TH!$V$7,M779=TH!$V$7),"x","")</f>
        <v/>
      </c>
      <c r="W779" s="55" t="str">
        <f>IF(AND(OR(L779="131",M779="131"),H779='131-CT'!$E$7),"x","")</f>
        <v/>
      </c>
      <c r="X779" s="55" t="str">
        <f>IF(AND(B779&gt;='IN-NX'!$P$3,B779&lt;='IN-NX'!$Q$3,'IN-NX'!$D$7=D779,OR(LEFT(TH!L779,2)="15",LEFT(TH!M779,2)="15")),"x","")</f>
        <v/>
      </c>
      <c r="Y779" s="55" t="str">
        <f>IF(AND(OR(LEFT(TH!L779,2)="15",LEFT(TH!M779,2)="15"),'152-CT'!$J$8=TH!F779),"x","")</f>
        <v/>
      </c>
      <c r="Z779" s="55" t="str">
        <f>IF(AND(OR(LEFT(TH!L779,2)="15",LEFT(TH!M779,2)="15"),TK!$E$7=TH!F779),"x","")</f>
        <v/>
      </c>
      <c r="AA779" s="55" t="str">
        <f>IF(AND(B779&lt;=NKC!$N$8,B779&gt;=NKC!$M$8),"x","")</f>
        <v/>
      </c>
    </row>
    <row r="780" spans="1:29" s="226" customFormat="1" ht="15.75" customHeight="1">
      <c r="A780" s="219" t="str">
        <f>IF(B780&lt;&gt;"",IF(AND(B780&gt;=_TM1,B780&lt;=_TM2,OR(TH!L780="1111",TH!M780="1111")),TH!D780,""),"")</f>
        <v/>
      </c>
      <c r="B780" s="36">
        <f t="shared" si="34"/>
        <v>8</v>
      </c>
      <c r="C780" s="37">
        <v>41152</v>
      </c>
      <c r="D780" s="37" t="s">
        <v>405</v>
      </c>
      <c r="E780" s="37">
        <v>41152</v>
      </c>
      <c r="F780" s="40" t="s">
        <v>455</v>
      </c>
      <c r="G780" s="40" t="s">
        <v>401</v>
      </c>
      <c r="H780" s="7"/>
      <c r="I780" s="277"/>
      <c r="J780" s="277"/>
      <c r="K780" s="38">
        <v>9382000</v>
      </c>
      <c r="L780" s="39" t="s">
        <v>8</v>
      </c>
      <c r="M780" s="39" t="s">
        <v>24</v>
      </c>
      <c r="N780" s="55" t="str">
        <f>IF(AND('331-CT'!$E$7=TH!H780,OR(L780="331",M780="331")),"x","")</f>
        <v/>
      </c>
      <c r="O780" s="55" t="str">
        <f>IF(AND($B780&gt;='111'!$N$11,$B780&lt;='111'!$O$11,OR($L780=$O$7,$M780=$O$7)),"x","")</f>
        <v/>
      </c>
      <c r="P780" s="55" t="str">
        <f>IF(AND($L780=$O$7,$B780&lt;'111'!$N$11),"x","")</f>
        <v/>
      </c>
      <c r="Q780" s="55" t="str">
        <f>IF(AND($M780=$O$7,$B780&lt;'111'!$N$11),"x","")</f>
        <v/>
      </c>
      <c r="R780" s="55" t="str">
        <f>IF(ISERROR(FIND('112'!$M$9,G780,1)),"",IF((AND(FIND('112'!$M$9,G780,1)&gt;=1,$B780&gt;='112'!$N$8,$B780&lt;='112'!$O$8,OR($L780='112'!$I$6,$M780='112'!$I$6))),"x",""))</f>
        <v>x</v>
      </c>
      <c r="S780" s="55" t="str">
        <f>IF(ISERROR(FIND('112'!$M$9,G780,1)),"",IF((AND(LEFT(G780,2)=LEFT('112'!$M$9,2),B780&lt;'112'!$N$8,$L780='112'!$I$6)),"x",""))</f>
        <v/>
      </c>
      <c r="T780" s="55" t="str">
        <f>IF(ISERROR(FIND('112'!$M$9,G780,1)),"",IF((AND(RIGHT(G780,2)=RIGHT('112'!$M$9,2),B780&lt;'112'!$N$8,$M780='112'!$I$6)),"x",""))</f>
        <v/>
      </c>
      <c r="U780" s="55" t="str">
        <f>IF(AND('3411-CT'!$F$9=H780,OR(LEFT(L780,3)=$U$7,LEFT(M780,3)=$U$7)),"x","")</f>
        <v/>
      </c>
      <c r="V780" s="55" t="str">
        <f>IF(OR(TH!L780=TH!$V$7,M780=TH!$V$7),"x","")</f>
        <v/>
      </c>
      <c r="W780" s="55" t="str">
        <f>IF(AND(OR(L780="131",M780="131"),H780='131-CT'!$E$7),"x","")</f>
        <v/>
      </c>
      <c r="X780" s="55" t="str">
        <f>IF(AND(B780&gt;='IN-NX'!$P$3,B780&lt;='IN-NX'!$Q$3,'IN-NX'!$D$7=D780,OR(LEFT(TH!L780,2)="15",LEFT(TH!M780,2)="15")),"x","")</f>
        <v/>
      </c>
      <c r="Y780" s="55" t="str">
        <f>IF(AND(OR(LEFT(TH!L780,2)="15",LEFT(TH!M780,2)="15"),'152-CT'!$J$8=TH!F780),"x","")</f>
        <v/>
      </c>
      <c r="Z780" s="55" t="str">
        <f>IF(AND(OR(LEFT(TH!L780,2)="15",LEFT(TH!M780,2)="15"),TK!$E$7=TH!F780),"x","")</f>
        <v/>
      </c>
      <c r="AA780" s="55" t="str">
        <f>IF(AND(B780&lt;=NKC!$N$8,B780&gt;=NKC!$M$8),"x","")</f>
        <v/>
      </c>
    </row>
    <row r="781" spans="1:29" s="226" customFormat="1" ht="15.75" customHeight="1">
      <c r="A781" s="219" t="str">
        <f>IF(B781&lt;&gt;"",IF(AND(B781&gt;=_TM1,B781&lt;=_TM2,OR(TH!L781="1111",TH!M781="1111")),TH!D781,""),"")</f>
        <v/>
      </c>
      <c r="B781" s="36">
        <f t="shared" si="34"/>
        <v>8</v>
      </c>
      <c r="C781" s="37">
        <v>41152</v>
      </c>
      <c r="D781" s="37" t="s">
        <v>405</v>
      </c>
      <c r="E781" s="37">
        <v>41152</v>
      </c>
      <c r="F781" s="40" t="s">
        <v>407</v>
      </c>
      <c r="G781" s="40" t="s">
        <v>401</v>
      </c>
      <c r="H781" s="7"/>
      <c r="I781" s="277"/>
      <c r="J781" s="277"/>
      <c r="K781" s="38">
        <v>10000</v>
      </c>
      <c r="L781" s="39" t="s">
        <v>87</v>
      </c>
      <c r="M781" s="39" t="s">
        <v>24</v>
      </c>
      <c r="N781" s="55" t="str">
        <f>IF(AND('331-CT'!$E$7=TH!H781,OR(L781="331",M781="331")),"x","")</f>
        <v/>
      </c>
      <c r="O781" s="55" t="str">
        <f>IF(AND($B781&gt;='111'!$N$11,$B781&lt;='111'!$O$11,OR($L781=$O$7,$M781=$O$7)),"x","")</f>
        <v/>
      </c>
      <c r="P781" s="55" t="str">
        <f>IF(AND($L781=$O$7,$B781&lt;'111'!$N$11),"x","")</f>
        <v/>
      </c>
      <c r="Q781" s="55" t="str">
        <f>IF(AND($M781=$O$7,$B781&lt;'111'!$N$11),"x","")</f>
        <v/>
      </c>
      <c r="R781" s="55" t="str">
        <f>IF(ISERROR(FIND('112'!$M$9,G781,1)),"",IF((AND(FIND('112'!$M$9,G781,1)&gt;=1,$B781&gt;='112'!$N$8,$B781&lt;='112'!$O$8,OR($L781='112'!$I$6,$M781='112'!$I$6))),"x",""))</f>
        <v>x</v>
      </c>
      <c r="S781" s="55" t="str">
        <f>IF(ISERROR(FIND('112'!$M$9,G781,1)),"",IF((AND(LEFT(G781,2)=LEFT('112'!$M$9,2),B781&lt;'112'!$N$8,$L781='112'!$I$6)),"x",""))</f>
        <v/>
      </c>
      <c r="T781" s="55" t="str">
        <f>IF(ISERROR(FIND('112'!$M$9,G781,1)),"",IF((AND(RIGHT(G781,2)=RIGHT('112'!$M$9,2),B781&lt;'112'!$N$8,$M781='112'!$I$6)),"x",""))</f>
        <v/>
      </c>
      <c r="U781" s="55" t="str">
        <f>IF(AND('3411-CT'!$F$9=H781,OR(LEFT(L781,3)=$U$7,LEFT(M781,3)=$U$7)),"x","")</f>
        <v/>
      </c>
      <c r="V781" s="55" t="str">
        <f>IF(OR(TH!L781=TH!$V$7,M781=TH!$V$7),"x","")</f>
        <v/>
      </c>
      <c r="W781" s="55" t="str">
        <f>IF(AND(OR(L781="131",M781="131"),H781='131-CT'!$E$7),"x","")</f>
        <v/>
      </c>
      <c r="X781" s="55" t="str">
        <f>IF(AND(B781&gt;='IN-NX'!$P$3,B781&lt;='IN-NX'!$Q$3,'IN-NX'!$D$7=D781,OR(LEFT(TH!L781,2)="15",LEFT(TH!M781,2)="15")),"x","")</f>
        <v/>
      </c>
      <c r="Y781" s="55" t="str">
        <f>IF(AND(OR(LEFT(TH!L781,2)="15",LEFT(TH!M781,2)="15"),'152-CT'!$J$8=TH!F781),"x","")</f>
        <v/>
      </c>
      <c r="Z781" s="55" t="str">
        <f>IF(AND(OR(LEFT(TH!L781,2)="15",LEFT(TH!M781,2)="15"),TK!$E$7=TH!F781),"x","")</f>
        <v/>
      </c>
      <c r="AA781" s="55" t="str">
        <f>IF(AND(B781&lt;=NKC!$N$8,B781&gt;=NKC!$M$8),"x","")</f>
        <v/>
      </c>
    </row>
    <row r="782" spans="1:29" s="226" customFormat="1" ht="15.75" customHeight="1">
      <c r="A782" s="219" t="str">
        <f>IF(B782&lt;&gt;"",IF(AND(B782&gt;=_TM1,B782&lt;=_TM2,OR(TH!L782="1111",TH!M782="1111")),TH!D782,""),"")</f>
        <v/>
      </c>
      <c r="B782" s="36">
        <f t="shared" si="34"/>
        <v>8</v>
      </c>
      <c r="C782" s="37">
        <v>41152</v>
      </c>
      <c r="D782" s="37" t="s">
        <v>405</v>
      </c>
      <c r="E782" s="37">
        <v>41152</v>
      </c>
      <c r="F782" s="40" t="s">
        <v>455</v>
      </c>
      <c r="G782" s="40" t="s">
        <v>401</v>
      </c>
      <c r="H782" s="7"/>
      <c r="I782" s="278"/>
      <c r="J782" s="278"/>
      <c r="K782" s="38">
        <v>10000000</v>
      </c>
      <c r="L782" s="39" t="s">
        <v>8</v>
      </c>
      <c r="M782" s="39" t="s">
        <v>24</v>
      </c>
      <c r="N782" s="55" t="str">
        <f>IF(AND('331-CT'!$E$7=TH!H782,OR(L782="331",M782="331")),"x","")</f>
        <v/>
      </c>
      <c r="O782" s="55" t="str">
        <f>IF(AND($B782&gt;='111'!$N$11,$B782&lt;='111'!$O$11,OR($L782=$O$7,$M782=$O$7)),"x","")</f>
        <v/>
      </c>
      <c r="P782" s="55" t="str">
        <f>IF(AND($L782=$O$7,$B782&lt;'111'!$N$11),"x","")</f>
        <v/>
      </c>
      <c r="Q782" s="55" t="str">
        <f>IF(AND($M782=$O$7,$B782&lt;'111'!$N$11),"x","")</f>
        <v/>
      </c>
      <c r="R782" s="55" t="str">
        <f>IF(ISERROR(FIND('112'!$M$9,G782,1)),"",IF((AND(FIND('112'!$M$9,G782,1)&gt;=1,$B782&gt;='112'!$N$8,$B782&lt;='112'!$O$8,OR($L782='112'!$I$6,$M782='112'!$I$6))),"x",""))</f>
        <v>x</v>
      </c>
      <c r="S782" s="55" t="str">
        <f>IF(ISERROR(FIND('112'!$M$9,G782,1)),"",IF((AND(LEFT(G782,2)=LEFT('112'!$M$9,2),B782&lt;'112'!$N$8,$L782='112'!$I$6)),"x",""))</f>
        <v/>
      </c>
      <c r="T782" s="55" t="str">
        <f>IF(ISERROR(FIND('112'!$M$9,G782,1)),"",IF((AND(RIGHT(G782,2)=RIGHT('112'!$M$9,2),B782&lt;'112'!$N$8,$M782='112'!$I$6)),"x",""))</f>
        <v/>
      </c>
      <c r="U782" s="55" t="str">
        <f>IF(AND('3411-CT'!$F$9=H782,OR(LEFT(L782,3)=$U$7,LEFT(M782,3)=$U$7)),"x","")</f>
        <v/>
      </c>
      <c r="V782" s="55" t="str">
        <f>IF(OR(TH!L782=TH!$V$7,M782=TH!$V$7),"x","")</f>
        <v/>
      </c>
      <c r="W782" s="55" t="str">
        <f>IF(AND(OR(L782="131",M782="131"),H782='131-CT'!$E$7),"x","")</f>
        <v/>
      </c>
      <c r="X782" s="55" t="str">
        <f>IF(AND(B782&gt;='IN-NX'!$P$3,B782&lt;='IN-NX'!$Q$3,'IN-NX'!$D$7=D782,OR(LEFT(TH!L782,2)="15",LEFT(TH!M782,2)="15")),"x","")</f>
        <v/>
      </c>
      <c r="Y782" s="55" t="str">
        <f>IF(AND(OR(LEFT(TH!L782,2)="15",LEFT(TH!M782,2)="15"),'152-CT'!$J$8=TH!F782),"x","")</f>
        <v/>
      </c>
      <c r="Z782" s="55" t="str">
        <f>IF(AND(OR(LEFT(TH!L782,2)="15",LEFT(TH!M782,2)="15"),TK!$E$7=TH!F782),"x","")</f>
        <v/>
      </c>
      <c r="AA782" s="55" t="str">
        <f>IF(AND(B782&lt;=NKC!$N$8,B782&gt;=NKC!$M$8),"x","")</f>
        <v/>
      </c>
    </row>
    <row r="783" spans="1:29" s="689" customFormat="1" ht="15.75" customHeight="1">
      <c r="A783" s="219" t="str">
        <f>IF(B783&lt;&gt;"",IF(AND(B783&gt;=_TM1,B783&lt;=_TM2,OR(TH!L783="1111",TH!M783="1111")),TH!D783,""),"")</f>
        <v/>
      </c>
      <c r="B783" s="36">
        <f t="shared" si="34"/>
        <v>8</v>
      </c>
      <c r="C783" s="37">
        <v>41152</v>
      </c>
      <c r="D783" s="195" t="s">
        <v>405</v>
      </c>
      <c r="E783" s="195">
        <v>41152</v>
      </c>
      <c r="F783" s="203" t="s">
        <v>407</v>
      </c>
      <c r="G783" s="203" t="s">
        <v>401</v>
      </c>
      <c r="H783" s="45"/>
      <c r="I783" s="277"/>
      <c r="J783" s="277"/>
      <c r="K783" s="698">
        <v>20000</v>
      </c>
      <c r="L783" s="699" t="s">
        <v>87</v>
      </c>
      <c r="M783" s="890" t="s">
        <v>24</v>
      </c>
      <c r="N783" s="55" t="str">
        <f>IF(AND('331-CT'!$E$7=TH!H783,OR(L783="331",M783="331")),"x","")</f>
        <v/>
      </c>
      <c r="O783" s="55" t="str">
        <f>IF(AND($B783&gt;='111'!$N$11,$B783&lt;='111'!$O$11,OR($L783=$O$7,$M783=$O$7)),"x","")</f>
        <v/>
      </c>
      <c r="P783" s="55" t="str">
        <f>IF(AND($L783=$O$7,$B783&lt;'111'!$N$11),"x","")</f>
        <v/>
      </c>
      <c r="Q783" s="55" t="str">
        <f>IF(AND($M783=$O$7,$B783&lt;'111'!$N$11),"x","")</f>
        <v/>
      </c>
      <c r="R783" s="55" t="str">
        <f>IF(ISERROR(FIND('112'!$M$9,G783,1)),"",IF((AND(FIND('112'!$M$9,G783,1)&gt;=1,$B783&gt;='112'!$N$8,$B783&lt;='112'!$O$8,OR($L783='112'!$I$6,$M783='112'!$I$6))),"x",""))</f>
        <v>x</v>
      </c>
      <c r="S783" s="55" t="str">
        <f>IF(ISERROR(FIND('112'!$M$9,G783,1)),"",IF((AND(LEFT(G783,2)=LEFT('112'!$M$9,2),B783&lt;'112'!$N$8,$L783='112'!$I$6)),"x",""))</f>
        <v/>
      </c>
      <c r="T783" s="55" t="str">
        <f>IF(ISERROR(FIND('112'!$M$9,G783,1)),"",IF((AND(RIGHT(G783,2)=RIGHT('112'!$M$9,2),B783&lt;'112'!$N$8,$M783='112'!$I$6)),"x",""))</f>
        <v/>
      </c>
      <c r="U783" s="55" t="str">
        <f>IF(AND('3411-CT'!$F$9=H783,OR(LEFT(L783,3)=$U$7,LEFT(M783,3)=$U$7)),"x","")</f>
        <v/>
      </c>
      <c r="V783" s="55" t="str">
        <f>IF(OR(TH!L783=TH!$V$7,M783=TH!$V$7),"x","")</f>
        <v/>
      </c>
      <c r="W783" s="55" t="str">
        <f>IF(AND(OR(L783="131",M783="131"),H783='131-CT'!$E$7),"x","")</f>
        <v/>
      </c>
      <c r="X783" s="55" t="str">
        <f>IF(AND(B783&gt;='IN-NX'!$P$3,B783&lt;='IN-NX'!$Q$3,'IN-NX'!$D$7=D783,OR(LEFT(TH!L783,2)="15",LEFT(TH!M783,2)="15")),"x","")</f>
        <v/>
      </c>
      <c r="Y783" s="55" t="str">
        <f>IF(AND(OR(LEFT(TH!L783,2)="15",LEFT(TH!M783,2)="15"),'152-CT'!$J$8=TH!F783),"x","")</f>
        <v/>
      </c>
      <c r="Z783" s="55" t="str">
        <f>IF(AND(OR(LEFT(TH!L783,2)="15",LEFT(TH!M783,2)="15"),TK!$E$7=TH!F783),"x","")</f>
        <v/>
      </c>
      <c r="AA783" s="55" t="str">
        <f>IF(AND(B783&lt;=NKC!$N$8,B783&gt;=NKC!$M$8),"x","")</f>
        <v/>
      </c>
    </row>
    <row r="784" spans="1:29" s="689" customFormat="1" ht="15.75" customHeight="1">
      <c r="A784" s="219" t="str">
        <f>IF(B784&lt;&gt;"",IF(AND(B784&gt;=_TM1,B784&lt;=_TM2,OR(TH!L784="1111",TH!M784="1111")),TH!D784,""),"")</f>
        <v/>
      </c>
      <c r="B784" s="36">
        <f t="shared" si="34"/>
        <v>8</v>
      </c>
      <c r="C784" s="37">
        <v>41152</v>
      </c>
      <c r="D784" s="195" t="s">
        <v>502</v>
      </c>
      <c r="E784" s="195">
        <v>41152</v>
      </c>
      <c r="F784" s="203" t="s">
        <v>1051</v>
      </c>
      <c r="G784" s="700" t="s">
        <v>1052</v>
      </c>
      <c r="H784" s="45" t="s">
        <v>456</v>
      </c>
      <c r="I784" s="277"/>
      <c r="J784" s="277"/>
      <c r="K784" s="698">
        <v>1340000</v>
      </c>
      <c r="L784" s="891" t="s">
        <v>194</v>
      </c>
      <c r="M784" s="891" t="s">
        <v>49</v>
      </c>
      <c r="N784" s="55" t="str">
        <f>IF(AND('331-CT'!$E$7=TH!H784,OR(L784="331",M784="331")),"x","")</f>
        <v/>
      </c>
      <c r="O784" s="55" t="str">
        <f>IF(AND($B784&gt;='111'!$N$11,$B784&lt;='111'!$O$11,OR($L784=$O$7,$M784=$O$7)),"x","")</f>
        <v/>
      </c>
      <c r="P784" s="55" t="str">
        <f>IF(AND($L784=$O$7,$B784&lt;'111'!$N$11),"x","")</f>
        <v/>
      </c>
      <c r="Q784" s="55" t="str">
        <f>IF(AND($M784=$O$7,$B784&lt;'111'!$N$11),"x","")</f>
        <v>x</v>
      </c>
      <c r="R784" s="55" t="str">
        <f>IF(ISERROR(FIND('112'!$M$9,G784,1)),"",IF((AND(FIND('112'!$M$9,G784,1)&gt;=1,$B784&gt;='112'!$N$8,$B784&lt;='112'!$O$8,OR($L784='112'!$I$6,$M784='112'!$I$6))),"x",""))</f>
        <v/>
      </c>
      <c r="S784" s="55" t="str">
        <f>IF(ISERROR(FIND('112'!$M$9,G784,1)),"",IF((AND(LEFT(G784,2)=LEFT('112'!$M$9,2),B784&lt;'112'!$N$8,$L784='112'!$I$6)),"x",""))</f>
        <v/>
      </c>
      <c r="T784" s="55" t="str">
        <f>IF(ISERROR(FIND('112'!$M$9,G784,1)),"",IF((AND(RIGHT(G784,2)=RIGHT('112'!$M$9,2),B784&lt;'112'!$N$8,$M784='112'!$I$6)),"x",""))</f>
        <v/>
      </c>
      <c r="U784" s="55" t="str">
        <f>IF(AND('3411-CT'!$F$9=H784,OR(LEFT(L784,3)=$U$7,LEFT(M784,3)=$U$7)),"x","")</f>
        <v/>
      </c>
      <c r="V784" s="55" t="str">
        <f>IF(OR(TH!L784=TH!$V$7,M784=TH!$V$7),"x","")</f>
        <v/>
      </c>
      <c r="W784" s="55" t="str">
        <f>IF(AND(OR(L784="131",M784="131"),H784='131-CT'!$E$7),"x","")</f>
        <v/>
      </c>
      <c r="X784" s="55" t="str">
        <f>IF(AND(B784&gt;='IN-NX'!$P$3,B784&lt;='IN-NX'!$Q$3,'IN-NX'!$D$7=D784,OR(LEFT(TH!L784,2)="15",LEFT(TH!M784,2)="15")),"x","")</f>
        <v/>
      </c>
      <c r="Y784" s="55" t="str">
        <f>IF(AND(OR(LEFT(TH!L784,2)="15",LEFT(TH!M784,2)="15"),'152-CT'!$J$8=TH!F784),"x","")</f>
        <v/>
      </c>
      <c r="Z784" s="55" t="str">
        <f>IF(AND(OR(LEFT(TH!L784,2)="15",LEFT(TH!M784,2)="15"),TK!$E$7=TH!F784),"x","")</f>
        <v/>
      </c>
      <c r="AA784" s="55" t="str">
        <f>IF(AND(B784&lt;=NKC!$N$8,B784&gt;=NKC!$M$8),"x","")</f>
        <v/>
      </c>
    </row>
    <row r="785" spans="1:29" s="689" customFormat="1" ht="15.75" customHeight="1">
      <c r="A785" s="219" t="str">
        <f>IF(B785&lt;&gt;"",IF(AND(B785&gt;=_TM1,B785&lt;=_TM2,OR(TH!L785="1111",TH!M785="1111")),TH!D785,""),"")</f>
        <v/>
      </c>
      <c r="B785" s="36">
        <f t="shared" si="34"/>
        <v>8</v>
      </c>
      <c r="C785" s="37">
        <v>41152</v>
      </c>
      <c r="D785" s="195" t="s">
        <v>502</v>
      </c>
      <c r="E785" s="195">
        <v>41152</v>
      </c>
      <c r="F785" s="203" t="s">
        <v>413</v>
      </c>
      <c r="G785" s="203" t="s">
        <v>1052</v>
      </c>
      <c r="H785" s="45" t="s">
        <v>456</v>
      </c>
      <c r="I785" s="277"/>
      <c r="J785" s="277"/>
      <c r="K785" s="698">
        <v>134000</v>
      </c>
      <c r="L785" s="891" t="s">
        <v>9</v>
      </c>
      <c r="M785" s="891" t="s">
        <v>49</v>
      </c>
      <c r="N785" s="55" t="str">
        <f>IF(AND('331-CT'!$E$7=TH!H785,OR(L785="331",M785="331")),"x","")</f>
        <v/>
      </c>
      <c r="O785" s="55" t="str">
        <f>IF(AND($B785&gt;='111'!$N$11,$B785&lt;='111'!$O$11,OR($L785=$O$7,$M785=$O$7)),"x","")</f>
        <v/>
      </c>
      <c r="P785" s="55" t="str">
        <f>IF(AND($L785=$O$7,$B785&lt;'111'!$N$11),"x","")</f>
        <v/>
      </c>
      <c r="Q785" s="55" t="str">
        <f>IF(AND($M785=$O$7,$B785&lt;'111'!$N$11),"x","")</f>
        <v>x</v>
      </c>
      <c r="R785" s="55" t="str">
        <f>IF(ISERROR(FIND('112'!$M$9,G785,1)),"",IF((AND(FIND('112'!$M$9,G785,1)&gt;=1,$B785&gt;='112'!$N$8,$B785&lt;='112'!$O$8,OR($L785='112'!$I$6,$M785='112'!$I$6))),"x",""))</f>
        <v/>
      </c>
      <c r="S785" s="55" t="str">
        <f>IF(ISERROR(FIND('112'!$M$9,G785,1)),"",IF((AND(LEFT(G785,2)=LEFT('112'!$M$9,2),B785&lt;'112'!$N$8,$L785='112'!$I$6)),"x",""))</f>
        <v/>
      </c>
      <c r="T785" s="55" t="str">
        <f>IF(ISERROR(FIND('112'!$M$9,G785,1)),"",IF((AND(RIGHT(G785,2)=RIGHT('112'!$M$9,2),B785&lt;'112'!$N$8,$M785='112'!$I$6)),"x",""))</f>
        <v/>
      </c>
      <c r="U785" s="55" t="str">
        <f>IF(AND('3411-CT'!$F$9=H785,OR(LEFT(L785,3)=$U$7,LEFT(M785,3)=$U$7)),"x","")</f>
        <v/>
      </c>
      <c r="V785" s="55" t="str">
        <f>IF(OR(TH!L785=TH!$V$7,M785=TH!$V$7),"x","")</f>
        <v/>
      </c>
      <c r="W785" s="55" t="str">
        <f>IF(AND(OR(L785="131",M785="131"),H785='131-CT'!$E$7),"x","")</f>
        <v/>
      </c>
      <c r="X785" s="55" t="str">
        <f>IF(AND(B785&gt;='IN-NX'!$P$3,B785&lt;='IN-NX'!$Q$3,'IN-NX'!$D$7=D785,OR(LEFT(TH!L785,2)="15",LEFT(TH!M785,2)="15")),"x","")</f>
        <v/>
      </c>
      <c r="Y785" s="55" t="str">
        <f>IF(AND(OR(LEFT(TH!L785,2)="15",LEFT(TH!M785,2)="15"),'152-CT'!$J$8=TH!F785),"x","")</f>
        <v/>
      </c>
      <c r="Z785" s="55" t="str">
        <f>IF(AND(OR(LEFT(TH!L785,2)="15",LEFT(TH!M785,2)="15"),TK!$E$7=TH!F785),"x","")</f>
        <v/>
      </c>
      <c r="AA785" s="55" t="str">
        <f>IF(AND(B785&lt;=NKC!$N$8,B785&gt;=NKC!$M$8),"x","")</f>
        <v/>
      </c>
    </row>
    <row r="786" spans="1:29" s="689" customFormat="1" ht="15.75" customHeight="1">
      <c r="A786" s="219" t="str">
        <f>IF(B786&lt;&gt;"",IF(AND(B786&gt;=_TM1,B786&lt;=_TM2,OR(TH!L786="1111",TH!M786="1111")),TH!D786,""),"")</f>
        <v/>
      </c>
      <c r="B786" s="36">
        <f t="shared" si="34"/>
        <v>8</v>
      </c>
      <c r="C786" s="37">
        <v>41152</v>
      </c>
      <c r="D786" s="205" t="s">
        <v>1112</v>
      </c>
      <c r="E786" s="195">
        <v>41152</v>
      </c>
      <c r="F786" s="203" t="s">
        <v>793</v>
      </c>
      <c r="G786" s="203" t="s">
        <v>1053</v>
      </c>
      <c r="H786" s="7" t="s">
        <v>487</v>
      </c>
      <c r="I786" s="277">
        <v>440</v>
      </c>
      <c r="J786" s="277">
        <v>18306</v>
      </c>
      <c r="K786" s="698">
        <v>8054640</v>
      </c>
      <c r="L786" s="699" t="s">
        <v>186</v>
      </c>
      <c r="M786" s="699" t="s">
        <v>8</v>
      </c>
      <c r="N786" s="55" t="str">
        <f>IF(AND('331-CT'!$E$7=TH!H786,OR(L786="331",M786="331")),"x","")</f>
        <v/>
      </c>
      <c r="O786" s="55" t="str">
        <f>IF(AND($B786&gt;='111'!$N$11,$B786&lt;='111'!$O$11,OR($L786=$O$7,$M786=$O$7)),"x","")</f>
        <v/>
      </c>
      <c r="P786" s="55" t="str">
        <f>IF(AND($L786=$O$7,$B786&lt;'111'!$N$11),"x","")</f>
        <v/>
      </c>
      <c r="Q786" s="55" t="str">
        <f>IF(AND($M786=$O$7,$B786&lt;'111'!$N$11),"x","")</f>
        <v/>
      </c>
      <c r="R786" s="55" t="str">
        <f>IF(ISERROR(FIND('112'!$M$9,G786,1)),"",IF((AND(FIND('112'!$M$9,G786,1)&gt;=1,$B786&gt;='112'!$N$8,$B786&lt;='112'!$O$8,OR($L786='112'!$I$6,$M786='112'!$I$6))),"x",""))</f>
        <v/>
      </c>
      <c r="S786" s="55" t="str">
        <f>IF(ISERROR(FIND('112'!$M$9,G786,1)),"",IF((AND(LEFT(G786,2)=LEFT('112'!$M$9,2),B786&lt;'112'!$N$8,$L786='112'!$I$6)),"x",""))</f>
        <v/>
      </c>
      <c r="T786" s="55" t="str">
        <f>IF(ISERROR(FIND('112'!$M$9,G786,1)),"",IF((AND(RIGHT(G786,2)=RIGHT('112'!$M$9,2),B786&lt;'112'!$N$8,$M786='112'!$I$6)),"x",""))</f>
        <v/>
      </c>
      <c r="U786" s="55" t="str">
        <f>IF(AND('3411-CT'!$F$9=H786,OR(LEFT(L786,3)=$U$7,LEFT(M786,3)=$U$7)),"x","")</f>
        <v/>
      </c>
      <c r="V786" s="55" t="str">
        <f>IF(OR(TH!L786=TH!$V$7,M786=TH!$V$7),"x","")</f>
        <v/>
      </c>
      <c r="W786" s="55" t="str">
        <f>IF(AND(OR(L786="131",M786="131"),H786='131-CT'!$E$7),"x","")</f>
        <v/>
      </c>
      <c r="X786" s="55" t="str">
        <f>IF(AND(B786&gt;='IN-NX'!$P$3,B786&lt;='IN-NX'!$Q$3,'IN-NX'!$D$7=D786,OR(LEFT(TH!L786,2)="15",LEFT(TH!M786,2)="15")),"x","")</f>
        <v/>
      </c>
      <c r="Y786" s="55" t="str">
        <f>IF(AND(OR(LEFT(TH!L786,2)="15",LEFT(TH!M786,2)="15"),'152-CT'!$J$8=TH!F786),"x","")</f>
        <v/>
      </c>
      <c r="Z786" s="55" t="str">
        <f>IF(AND(OR(LEFT(TH!L786,2)="15",LEFT(TH!M786,2)="15"),TK!$E$7=TH!F786),"x","")</f>
        <v/>
      </c>
      <c r="AA786" s="55" t="str">
        <f>IF(AND(B786&lt;=NKC!$N$8,B786&gt;=NKC!$M$8),"x","")</f>
        <v/>
      </c>
      <c r="AC786" s="226" t="str">
        <f>IF(ISNA(VLOOKUP(F786,NXT!$C$18:$C$347,1,0)),x,"")</f>
        <v/>
      </c>
    </row>
    <row r="787" spans="1:29" s="689" customFormat="1" ht="15.75" customHeight="1">
      <c r="A787" s="219" t="str">
        <f>IF(B787&lt;&gt;"",IF(AND(B787&gt;=_TM1,B787&lt;=_TM2,OR(TH!L787="1111",TH!M787="1111")),TH!D787,""),"")</f>
        <v/>
      </c>
      <c r="B787" s="36">
        <f t="shared" si="34"/>
        <v>8</v>
      </c>
      <c r="C787" s="37">
        <v>41152</v>
      </c>
      <c r="D787" s="205" t="s">
        <v>1112</v>
      </c>
      <c r="E787" s="195">
        <v>41152</v>
      </c>
      <c r="F787" s="203" t="s">
        <v>791</v>
      </c>
      <c r="G787" s="700" t="s">
        <v>1053</v>
      </c>
      <c r="H787" s="7" t="s">
        <v>487</v>
      </c>
      <c r="I787" s="277">
        <v>250</v>
      </c>
      <c r="J787" s="277">
        <v>17625</v>
      </c>
      <c r="K787" s="698">
        <v>4406250</v>
      </c>
      <c r="L787" s="891" t="s">
        <v>186</v>
      </c>
      <c r="M787" s="699" t="s">
        <v>8</v>
      </c>
      <c r="N787" s="55" t="str">
        <f>IF(AND('331-CT'!$E$7=TH!H787,OR(L787="331",M787="331")),"x","")</f>
        <v/>
      </c>
      <c r="O787" s="55" t="str">
        <f>IF(AND($B787&gt;='111'!$N$11,$B787&lt;='111'!$O$11,OR($L787=$O$7,$M787=$O$7)),"x","")</f>
        <v/>
      </c>
      <c r="P787" s="55" t="str">
        <f>IF(AND($L787=$O$7,$B787&lt;'111'!$N$11),"x","")</f>
        <v/>
      </c>
      <c r="Q787" s="55" t="str">
        <f>IF(AND($M787=$O$7,$B787&lt;'111'!$N$11),"x","")</f>
        <v/>
      </c>
      <c r="R787" s="55" t="str">
        <f>IF(ISERROR(FIND('112'!$M$9,G787,1)),"",IF((AND(FIND('112'!$M$9,G787,1)&gt;=1,$B787&gt;='112'!$N$8,$B787&lt;='112'!$O$8,OR($L787='112'!$I$6,$M787='112'!$I$6))),"x",""))</f>
        <v/>
      </c>
      <c r="S787" s="55" t="str">
        <f>IF(ISERROR(FIND('112'!$M$9,G787,1)),"",IF((AND(LEFT(G787,2)=LEFT('112'!$M$9,2),B787&lt;'112'!$N$8,$L787='112'!$I$6)),"x",""))</f>
        <v/>
      </c>
      <c r="T787" s="55" t="str">
        <f>IF(ISERROR(FIND('112'!$M$9,G787,1)),"",IF((AND(RIGHT(G787,2)=RIGHT('112'!$M$9,2),B787&lt;'112'!$N$8,$M787='112'!$I$6)),"x",""))</f>
        <v/>
      </c>
      <c r="U787" s="55" t="str">
        <f>IF(AND('3411-CT'!$F$9=H787,OR(LEFT(L787,3)=$U$7,LEFT(M787,3)=$U$7)),"x","")</f>
        <v/>
      </c>
      <c r="V787" s="55" t="str">
        <f>IF(OR(TH!L787=TH!$V$7,M787=TH!$V$7),"x","")</f>
        <v/>
      </c>
      <c r="W787" s="55" t="str">
        <f>IF(AND(OR(L787="131",M787="131"),H787='131-CT'!$E$7),"x","")</f>
        <v/>
      </c>
      <c r="X787" s="55" t="str">
        <f>IF(AND(B787&gt;='IN-NX'!$P$3,B787&lt;='IN-NX'!$Q$3,'IN-NX'!$D$7=D787,OR(LEFT(TH!L787,2)="15",LEFT(TH!M787,2)="15")),"x","")</f>
        <v/>
      </c>
      <c r="Y787" s="55" t="str">
        <f>IF(AND(OR(LEFT(TH!L787,2)="15",LEFT(TH!M787,2)="15"),'152-CT'!$J$8=TH!F787),"x","")</f>
        <v/>
      </c>
      <c r="Z787" s="55" t="str">
        <f>IF(AND(OR(LEFT(TH!L787,2)="15",LEFT(TH!M787,2)="15"),TK!$E$7=TH!F787),"x","")</f>
        <v/>
      </c>
      <c r="AA787" s="55" t="str">
        <f>IF(AND(B787&lt;=NKC!$N$8,B787&gt;=NKC!$M$8),"x","")</f>
        <v/>
      </c>
      <c r="AC787" s="226" t="str">
        <f>IF(ISNA(VLOOKUP(F787,NXT!$C$18:$C$347,1,0)),x,"")</f>
        <v/>
      </c>
    </row>
    <row r="788" spans="1:29" s="689" customFormat="1" ht="15.75" customHeight="1">
      <c r="A788" s="219" t="str">
        <f>IF(B788&lt;&gt;"",IF(AND(B788&gt;=_TM1,B788&lt;=_TM2,OR(TH!L788="1111",TH!M788="1111")),TH!D788,""),"")</f>
        <v/>
      </c>
      <c r="B788" s="36">
        <f t="shared" si="34"/>
        <v>8</v>
      </c>
      <c r="C788" s="37">
        <v>41152</v>
      </c>
      <c r="D788" s="205" t="s">
        <v>1112</v>
      </c>
      <c r="E788" s="195">
        <v>41152</v>
      </c>
      <c r="F788" s="203" t="s">
        <v>573</v>
      </c>
      <c r="G788" s="203" t="s">
        <v>1053</v>
      </c>
      <c r="H788" s="7" t="s">
        <v>487</v>
      </c>
      <c r="I788" s="277"/>
      <c r="J788" s="277"/>
      <c r="K788" s="698">
        <v>1246089</v>
      </c>
      <c r="L788" s="891" t="s">
        <v>9</v>
      </c>
      <c r="M788" s="699" t="s">
        <v>8</v>
      </c>
      <c r="N788" s="55" t="str">
        <f>IF(AND('331-CT'!$E$7=TH!H788,OR(L788="331",M788="331")),"x","")</f>
        <v/>
      </c>
      <c r="O788" s="55" t="str">
        <f>IF(AND($B788&gt;='111'!$N$11,$B788&lt;='111'!$O$11,OR($L788=$O$7,$M788=$O$7)),"x","")</f>
        <v/>
      </c>
      <c r="P788" s="55" t="str">
        <f>IF(AND($L788=$O$7,$B788&lt;'111'!$N$11),"x","")</f>
        <v/>
      </c>
      <c r="Q788" s="55" t="str">
        <f>IF(AND($M788=$O$7,$B788&lt;'111'!$N$11),"x","")</f>
        <v/>
      </c>
      <c r="R788" s="55" t="str">
        <f>IF(ISERROR(FIND('112'!$M$9,G788,1)),"",IF((AND(FIND('112'!$M$9,G788,1)&gt;=1,$B788&gt;='112'!$N$8,$B788&lt;='112'!$O$8,OR($L788='112'!$I$6,$M788='112'!$I$6))),"x",""))</f>
        <v/>
      </c>
      <c r="S788" s="55" t="str">
        <f>IF(ISERROR(FIND('112'!$M$9,G788,1)),"",IF((AND(LEFT(G788,2)=LEFT('112'!$M$9,2),B788&lt;'112'!$N$8,$L788='112'!$I$6)),"x",""))</f>
        <v/>
      </c>
      <c r="T788" s="55" t="str">
        <f>IF(ISERROR(FIND('112'!$M$9,G788,1)),"",IF((AND(RIGHT(G788,2)=RIGHT('112'!$M$9,2),B788&lt;'112'!$N$8,$M788='112'!$I$6)),"x",""))</f>
        <v/>
      </c>
      <c r="U788" s="55" t="str">
        <f>IF(AND('3411-CT'!$F$9=H788,OR(LEFT(L788,3)=$U$7,LEFT(M788,3)=$U$7)),"x","")</f>
        <v/>
      </c>
      <c r="V788" s="55" t="str">
        <f>IF(OR(TH!L788=TH!$V$7,M788=TH!$V$7),"x","")</f>
        <v/>
      </c>
      <c r="W788" s="55" t="str">
        <f>IF(AND(OR(L788="131",M788="131"),H788='131-CT'!$E$7),"x","")</f>
        <v/>
      </c>
      <c r="X788" s="55" t="str">
        <f>IF(AND(B788&gt;='IN-NX'!$P$3,B788&lt;='IN-NX'!$Q$3,'IN-NX'!$D$7=D788,OR(LEFT(TH!L788,2)="15",LEFT(TH!M788,2)="15")),"x","")</f>
        <v/>
      </c>
      <c r="Y788" s="55" t="str">
        <f>IF(AND(OR(LEFT(TH!L788,2)="15",LEFT(TH!M788,2)="15"),'152-CT'!$J$8=TH!F788),"x","")</f>
        <v/>
      </c>
      <c r="Z788" s="55" t="str">
        <f>IF(AND(OR(LEFT(TH!L788,2)="15",LEFT(TH!M788,2)="15"),TK!$E$7=TH!F788),"x","")</f>
        <v/>
      </c>
      <c r="AA788" s="55" t="str">
        <f>IF(AND(B788&lt;=NKC!$N$8,B788&gt;=NKC!$M$8),"x","")</f>
        <v/>
      </c>
    </row>
    <row r="789" spans="1:29" s="689" customFormat="1" ht="15.75" customHeight="1">
      <c r="A789" s="219" t="str">
        <f>IF(B789&lt;&gt;"",IF(AND(B789&gt;=_TM1,B789&lt;=_TM2,OR(TH!L789="1111",TH!M789="1111")),TH!D789,""),"")</f>
        <v/>
      </c>
      <c r="B789" s="36">
        <f t="shared" si="34"/>
        <v>9</v>
      </c>
      <c r="C789" s="37">
        <v>41156</v>
      </c>
      <c r="D789" s="205" t="s">
        <v>511</v>
      </c>
      <c r="E789" s="195">
        <v>41156</v>
      </c>
      <c r="F789" s="203" t="s">
        <v>458</v>
      </c>
      <c r="G789" s="203" t="s">
        <v>1054</v>
      </c>
      <c r="H789" s="45" t="s">
        <v>460</v>
      </c>
      <c r="I789" s="277">
        <v>100</v>
      </c>
      <c r="J789" s="277">
        <v>25000</v>
      </c>
      <c r="K789" s="698">
        <v>2500000</v>
      </c>
      <c r="L789" s="699" t="s">
        <v>188</v>
      </c>
      <c r="M789" s="699" t="s">
        <v>8</v>
      </c>
      <c r="N789" s="55" t="str">
        <f>IF(AND('331-CT'!$E$7=TH!H789,OR(L789="331",M789="331")),"x","")</f>
        <v/>
      </c>
      <c r="O789" s="55" t="str">
        <f>IF(AND($B789&gt;='111'!$N$11,$B789&lt;='111'!$O$11,OR($L789=$O$7,$M789=$O$7)),"x","")</f>
        <v/>
      </c>
      <c r="P789" s="55" t="str">
        <f>IF(AND($L789=$O$7,$B789&lt;'111'!$N$11),"x","")</f>
        <v/>
      </c>
      <c r="Q789" s="55" t="str">
        <f>IF(AND($M789=$O$7,$B789&lt;'111'!$N$11),"x","")</f>
        <v/>
      </c>
      <c r="R789" s="55" t="str">
        <f>IF(ISERROR(FIND('112'!$M$9,G789,1)),"",IF((AND(FIND('112'!$M$9,G789,1)&gt;=1,$B789&gt;='112'!$N$8,$B789&lt;='112'!$O$8,OR($L789='112'!$I$6,$M789='112'!$I$6))),"x",""))</f>
        <v/>
      </c>
      <c r="S789" s="55" t="str">
        <f>IF(ISERROR(FIND('112'!$M$9,G789,1)),"",IF((AND(LEFT(G789,2)=LEFT('112'!$M$9,2),B789&lt;'112'!$N$8,$L789='112'!$I$6)),"x",""))</f>
        <v/>
      </c>
      <c r="T789" s="55" t="str">
        <f>IF(ISERROR(FIND('112'!$M$9,G789,1)),"",IF((AND(RIGHT(G789,2)=RIGHT('112'!$M$9,2),B789&lt;'112'!$N$8,$M789='112'!$I$6)),"x",""))</f>
        <v/>
      </c>
      <c r="U789" s="55" t="str">
        <f>IF(AND('3411-CT'!$F$9=H789,OR(LEFT(L789,3)=$U$7,LEFT(M789,3)=$U$7)),"x","")</f>
        <v/>
      </c>
      <c r="V789" s="55" t="str">
        <f>IF(OR(TH!L789=TH!$V$7,M789=TH!$V$7),"x","")</f>
        <v/>
      </c>
      <c r="W789" s="55" t="str">
        <f>IF(AND(OR(L789="131",M789="131"),H789='131-CT'!$E$7),"x","")</f>
        <v/>
      </c>
      <c r="X789" s="55" t="str">
        <f>IF(AND(B789&gt;='IN-NX'!$P$3,B789&lt;='IN-NX'!$Q$3,'IN-NX'!$D$7=D789,OR(LEFT(TH!L789,2)="15",LEFT(TH!M789,2)="15")),"x","")</f>
        <v>x</v>
      </c>
      <c r="Y789" s="55" t="str">
        <f>IF(AND(OR(LEFT(TH!L789,2)="15",LEFT(TH!M789,2)="15"),'152-CT'!$J$8=TH!F789),"x","")</f>
        <v>x</v>
      </c>
      <c r="Z789" s="55" t="str">
        <f>IF(AND(OR(LEFT(TH!L789,2)="15",LEFT(TH!M789,2)="15"),TK!$E$7=TH!F789),"x","")</f>
        <v>x</v>
      </c>
      <c r="AA789" s="55" t="str">
        <f>IF(AND(B789&lt;=NKC!$N$8,B789&gt;=NKC!$M$8),"x","")</f>
        <v/>
      </c>
    </row>
    <row r="790" spans="1:29" s="689" customFormat="1" ht="15.75" customHeight="1">
      <c r="A790" s="219" t="str">
        <f>IF(B790&lt;&gt;"",IF(AND(B790&gt;=_TM1,B790&lt;=_TM2,OR(TH!L790="1111",TH!M790="1111")),TH!D790,""),"")</f>
        <v/>
      </c>
      <c r="B790" s="36">
        <f t="shared" si="34"/>
        <v>9</v>
      </c>
      <c r="C790" s="37">
        <v>41156</v>
      </c>
      <c r="D790" s="205" t="s">
        <v>511</v>
      </c>
      <c r="E790" s="195">
        <v>41156</v>
      </c>
      <c r="F790" s="203" t="s">
        <v>459</v>
      </c>
      <c r="G790" s="700" t="s">
        <v>1054</v>
      </c>
      <c r="H790" s="45" t="s">
        <v>460</v>
      </c>
      <c r="I790" s="277"/>
      <c r="J790" s="277"/>
      <c r="K790" s="698">
        <v>250000</v>
      </c>
      <c r="L790" s="891" t="s">
        <v>9</v>
      </c>
      <c r="M790" s="699" t="s">
        <v>8</v>
      </c>
      <c r="N790" s="55" t="str">
        <f>IF(AND('331-CT'!$E$7=TH!H790,OR(L790="331",M790="331")),"x","")</f>
        <v/>
      </c>
      <c r="O790" s="55" t="str">
        <f>IF(AND($B790&gt;='111'!$N$11,$B790&lt;='111'!$O$11,OR($L790=$O$7,$M790=$O$7)),"x","")</f>
        <v/>
      </c>
      <c r="P790" s="55" t="str">
        <f>IF(AND($L790=$O$7,$B790&lt;'111'!$N$11),"x","")</f>
        <v/>
      </c>
      <c r="Q790" s="55" t="str">
        <f>IF(AND($M790=$O$7,$B790&lt;'111'!$N$11),"x","")</f>
        <v/>
      </c>
      <c r="R790" s="55" t="str">
        <f>IF(ISERROR(FIND('112'!$M$9,G790,1)),"",IF((AND(FIND('112'!$M$9,G790,1)&gt;=1,$B790&gt;='112'!$N$8,$B790&lt;='112'!$O$8,OR($L790='112'!$I$6,$M790='112'!$I$6))),"x",""))</f>
        <v/>
      </c>
      <c r="S790" s="55" t="str">
        <f>IF(ISERROR(FIND('112'!$M$9,G790,1)),"",IF((AND(LEFT(G790,2)=LEFT('112'!$M$9,2),B790&lt;'112'!$N$8,$L790='112'!$I$6)),"x",""))</f>
        <v/>
      </c>
      <c r="T790" s="55" t="str">
        <f>IF(ISERROR(FIND('112'!$M$9,G790,1)),"",IF((AND(RIGHT(G790,2)=RIGHT('112'!$M$9,2),B790&lt;'112'!$N$8,$M790='112'!$I$6)),"x",""))</f>
        <v/>
      </c>
      <c r="U790" s="55" t="str">
        <f>IF(AND('3411-CT'!$F$9=H790,OR(LEFT(L790,3)=$U$7,LEFT(M790,3)=$U$7)),"x","")</f>
        <v/>
      </c>
      <c r="V790" s="55" t="str">
        <f>IF(OR(TH!L790=TH!$V$7,M790=TH!$V$7),"x","")</f>
        <v/>
      </c>
      <c r="W790" s="55" t="str">
        <f>IF(AND(OR(L790="131",M790="131"),H790='131-CT'!$E$7),"x","")</f>
        <v/>
      </c>
      <c r="X790" s="55" t="str">
        <f>IF(AND(B790&gt;='IN-NX'!$P$3,B790&lt;='IN-NX'!$Q$3,'IN-NX'!$D$7=D790,OR(LEFT(TH!L790,2)="15",LEFT(TH!M790,2)="15")),"x","")</f>
        <v/>
      </c>
      <c r="Y790" s="55" t="str">
        <f>IF(AND(OR(LEFT(TH!L790,2)="15",LEFT(TH!M790,2)="15"),'152-CT'!$J$8=TH!F790),"x","")</f>
        <v/>
      </c>
      <c r="Z790" s="55" t="str">
        <f>IF(AND(OR(LEFT(TH!L790,2)="15",LEFT(TH!M790,2)="15"),TK!$E$7=TH!F790),"x","")</f>
        <v/>
      </c>
      <c r="AA790" s="55" t="str">
        <f>IF(AND(B790&lt;=NKC!$N$8,B790&gt;=NKC!$M$8),"x","")</f>
        <v/>
      </c>
    </row>
    <row r="791" spans="1:29" s="689" customFormat="1" ht="15.75" customHeight="1">
      <c r="A791" s="219" t="str">
        <f>IF(B791&lt;&gt;"",IF(AND(B791&gt;=_TM1,B791&lt;=_TM2,OR(TH!L791="1111",TH!M791="1111")),TH!D791,""),"")</f>
        <v/>
      </c>
      <c r="B791" s="36">
        <f t="shared" si="34"/>
        <v>9</v>
      </c>
      <c r="C791" s="37">
        <v>41156</v>
      </c>
      <c r="D791" s="195" t="s">
        <v>503</v>
      </c>
      <c r="E791" s="195">
        <v>41156</v>
      </c>
      <c r="F791" s="203" t="s">
        <v>455</v>
      </c>
      <c r="G791" s="203" t="s">
        <v>1054</v>
      </c>
      <c r="H791" s="45" t="s">
        <v>460</v>
      </c>
      <c r="I791" s="277"/>
      <c r="J791" s="277"/>
      <c r="K791" s="698">
        <v>2750000</v>
      </c>
      <c r="L791" s="891" t="s">
        <v>8</v>
      </c>
      <c r="M791" s="891" t="s">
        <v>49</v>
      </c>
      <c r="N791" s="55" t="str">
        <f>IF(AND('331-CT'!$E$7=TH!H791,OR(L791="331",M791="331")),"x","")</f>
        <v/>
      </c>
      <c r="O791" s="55" t="str">
        <f>IF(AND($B791&gt;='111'!$N$11,$B791&lt;='111'!$O$11,OR($L791=$O$7,$M791=$O$7)),"x","")</f>
        <v/>
      </c>
      <c r="P791" s="55" t="str">
        <f>IF(AND($L791=$O$7,$B791&lt;'111'!$N$11),"x","")</f>
        <v/>
      </c>
      <c r="Q791" s="55" t="str">
        <f>IF(AND($M791=$O$7,$B791&lt;'111'!$N$11),"x","")</f>
        <v>x</v>
      </c>
      <c r="R791" s="55" t="str">
        <f>IF(ISERROR(FIND('112'!$M$9,G791,1)),"",IF((AND(FIND('112'!$M$9,G791,1)&gt;=1,$B791&gt;='112'!$N$8,$B791&lt;='112'!$O$8,OR($L791='112'!$I$6,$M791='112'!$I$6))),"x",""))</f>
        <v/>
      </c>
      <c r="S791" s="55" t="str">
        <f>IF(ISERROR(FIND('112'!$M$9,G791,1)),"",IF((AND(LEFT(G791,2)=LEFT('112'!$M$9,2),B791&lt;'112'!$N$8,$L791='112'!$I$6)),"x",""))</f>
        <v/>
      </c>
      <c r="T791" s="55" t="str">
        <f>IF(ISERROR(FIND('112'!$M$9,G791,1)),"",IF((AND(RIGHT(G791,2)=RIGHT('112'!$M$9,2),B791&lt;'112'!$N$8,$M791='112'!$I$6)),"x",""))</f>
        <v/>
      </c>
      <c r="U791" s="55" t="str">
        <f>IF(AND('3411-CT'!$F$9=H791,OR(LEFT(L791,3)=$U$7,LEFT(M791,3)=$U$7)),"x","")</f>
        <v/>
      </c>
      <c r="V791" s="55" t="str">
        <f>IF(OR(TH!L791=TH!$V$7,M791=TH!$V$7),"x","")</f>
        <v/>
      </c>
      <c r="W791" s="55" t="str">
        <f>IF(AND(OR(L791="131",M791="131"),H791='131-CT'!$E$7),"x","")</f>
        <v/>
      </c>
      <c r="X791" s="55" t="str">
        <f>IF(AND(B791&gt;='IN-NX'!$P$3,B791&lt;='IN-NX'!$Q$3,'IN-NX'!$D$7=D791,OR(LEFT(TH!L791,2)="15",LEFT(TH!M791,2)="15")),"x","")</f>
        <v/>
      </c>
      <c r="Y791" s="55" t="str">
        <f>IF(AND(OR(LEFT(TH!L791,2)="15",LEFT(TH!M791,2)="15"),'152-CT'!$J$8=TH!F791),"x","")</f>
        <v/>
      </c>
      <c r="Z791" s="55" t="str">
        <f>IF(AND(OR(LEFT(TH!L791,2)="15",LEFT(TH!M791,2)="15"),TK!$E$7=TH!F791),"x","")</f>
        <v/>
      </c>
      <c r="AA791" s="55" t="str">
        <f>IF(AND(B791&lt;=NKC!$N$8,B791&gt;=NKC!$M$8),"x","")</f>
        <v/>
      </c>
    </row>
    <row r="792" spans="1:29" s="689" customFormat="1" ht="15.75" customHeight="1">
      <c r="A792" s="219" t="str">
        <f>IF(B792&lt;&gt;"",IF(AND(B792&gt;=_TM1,B792&lt;=_TM2,OR(TH!L792="1111",TH!M792="1111")),TH!D792,""),"")</f>
        <v/>
      </c>
      <c r="B792" s="36">
        <f t="shared" si="34"/>
        <v>9</v>
      </c>
      <c r="C792" s="37">
        <v>41157</v>
      </c>
      <c r="D792" s="195" t="s">
        <v>404</v>
      </c>
      <c r="E792" s="195">
        <v>41157</v>
      </c>
      <c r="F792" s="203" t="s">
        <v>406</v>
      </c>
      <c r="G792" s="203" t="s">
        <v>401</v>
      </c>
      <c r="H792" s="7" t="s">
        <v>1131</v>
      </c>
      <c r="I792" s="277"/>
      <c r="J792" s="277"/>
      <c r="K792" s="698">
        <v>6042960</v>
      </c>
      <c r="L792" s="891" t="s">
        <v>24</v>
      </c>
      <c r="M792" s="891" t="s">
        <v>311</v>
      </c>
      <c r="N792" s="55" t="str">
        <f>IF(AND('331-CT'!$E$7=TH!H792,OR(L792="331",M792="331")),"x","")</f>
        <v/>
      </c>
      <c r="O792" s="55" t="str">
        <f>IF(AND($B792&gt;='111'!$N$11,$B792&lt;='111'!$O$11,OR($L792=$O$7,$M792=$O$7)),"x","")</f>
        <v/>
      </c>
      <c r="P792" s="55" t="str">
        <f>IF(AND($L792=$O$7,$B792&lt;'111'!$N$11),"x","")</f>
        <v/>
      </c>
      <c r="Q792" s="55" t="str">
        <f>IF(AND($M792=$O$7,$B792&lt;'111'!$N$11),"x","")</f>
        <v/>
      </c>
      <c r="R792" s="55" t="str">
        <f>IF(ISERROR(FIND('112'!$M$9,G792,1)),"",IF((AND(FIND('112'!$M$9,G792,1)&gt;=1,$B792&gt;='112'!$N$8,$B792&lt;='112'!$O$8,OR($L792='112'!$I$6,$M792='112'!$I$6))),"x",""))</f>
        <v>x</v>
      </c>
      <c r="S792" s="55" t="str">
        <f>IF(ISERROR(FIND('112'!$M$9,G792,1)),"",IF((AND(LEFT(G792,2)=LEFT('112'!$M$9,2),B792&lt;'112'!$N$8,$L792='112'!$I$6)),"x",""))</f>
        <v/>
      </c>
      <c r="T792" s="55" t="str">
        <f>IF(ISERROR(FIND('112'!$M$9,G792,1)),"",IF((AND(RIGHT(G792,2)=RIGHT('112'!$M$9,2),B792&lt;'112'!$N$8,$M792='112'!$I$6)),"x",""))</f>
        <v/>
      </c>
      <c r="U792" s="55" t="str">
        <f>IF(AND('3411-CT'!$F$9=H792,OR(LEFT(L792,3)=$U$7,LEFT(M792,3)=$U$7)),"x","")</f>
        <v/>
      </c>
      <c r="V792" s="55" t="str">
        <f>IF(OR(TH!L792=TH!$V$7,M792=TH!$V$7),"x","")</f>
        <v/>
      </c>
      <c r="W792" s="55" t="str">
        <f>IF(AND(OR(L792="131",M792="131"),H792='131-CT'!$E$7),"x","")</f>
        <v/>
      </c>
      <c r="X792" s="55" t="str">
        <f>IF(AND(B792&gt;='IN-NX'!$P$3,B792&lt;='IN-NX'!$Q$3,'IN-NX'!$D$7=D792,OR(LEFT(TH!L792,2)="15",LEFT(TH!M792,2)="15")),"x","")</f>
        <v/>
      </c>
      <c r="Y792" s="55" t="str">
        <f>IF(AND(OR(LEFT(TH!L792,2)="15",LEFT(TH!M792,2)="15"),'152-CT'!$J$8=TH!F792),"x","")</f>
        <v/>
      </c>
      <c r="Z792" s="55" t="str">
        <f>IF(AND(OR(LEFT(TH!L792,2)="15",LEFT(TH!M792,2)="15"),TK!$E$7=TH!F792),"x","")</f>
        <v/>
      </c>
      <c r="AA792" s="55" t="str">
        <f>IF(AND(B792&lt;=NKC!$N$8,B792&gt;=NKC!$M$8),"x","")</f>
        <v/>
      </c>
    </row>
    <row r="793" spans="1:29" s="689" customFormat="1" ht="15.75" customHeight="1">
      <c r="A793" s="219" t="str">
        <f>IF(B793&lt;&gt;"",IF(AND(B793&gt;=_TM1,B793&lt;=_TM2,OR(TH!L793="1111",TH!M793="1111")),TH!D793,""),"")</f>
        <v/>
      </c>
      <c r="B793" s="36">
        <f t="shared" si="34"/>
        <v>9</v>
      </c>
      <c r="C793" s="37">
        <v>41157</v>
      </c>
      <c r="D793" s="205" t="s">
        <v>1113</v>
      </c>
      <c r="E793" s="195">
        <v>41157</v>
      </c>
      <c r="F793" s="203" t="s">
        <v>779</v>
      </c>
      <c r="G793" s="203" t="s">
        <v>1055</v>
      </c>
      <c r="H793" s="7" t="s">
        <v>487</v>
      </c>
      <c r="I793" s="277">
        <v>600</v>
      </c>
      <c r="J793" s="277">
        <v>12227</v>
      </c>
      <c r="K793" s="698">
        <v>7336200</v>
      </c>
      <c r="L793" s="891" t="s">
        <v>186</v>
      </c>
      <c r="M793" s="699" t="s">
        <v>8</v>
      </c>
      <c r="N793" s="55" t="str">
        <f>IF(AND('331-CT'!$E$7=TH!H793,OR(L793="331",M793="331")),"x","")</f>
        <v/>
      </c>
      <c r="O793" s="55" t="str">
        <f>IF(AND($B793&gt;='111'!$N$11,$B793&lt;='111'!$O$11,OR($L793=$O$7,$M793=$O$7)),"x","")</f>
        <v/>
      </c>
      <c r="P793" s="55" t="str">
        <f>IF(AND($L793=$O$7,$B793&lt;'111'!$N$11),"x","")</f>
        <v/>
      </c>
      <c r="Q793" s="55" t="str">
        <f>IF(AND($M793=$O$7,$B793&lt;'111'!$N$11),"x","")</f>
        <v/>
      </c>
      <c r="R793" s="55" t="str">
        <f>IF(ISERROR(FIND('112'!$M$9,G793,1)),"",IF((AND(FIND('112'!$M$9,G793,1)&gt;=1,$B793&gt;='112'!$N$8,$B793&lt;='112'!$O$8,OR($L793='112'!$I$6,$M793='112'!$I$6))),"x",""))</f>
        <v/>
      </c>
      <c r="S793" s="55" t="str">
        <f>IF(ISERROR(FIND('112'!$M$9,G793,1)),"",IF((AND(LEFT(G793,2)=LEFT('112'!$M$9,2),B793&lt;'112'!$N$8,$L793='112'!$I$6)),"x",""))</f>
        <v/>
      </c>
      <c r="T793" s="55" t="str">
        <f>IF(ISERROR(FIND('112'!$M$9,G793,1)),"",IF((AND(RIGHT(G793,2)=RIGHT('112'!$M$9,2),B793&lt;'112'!$N$8,$M793='112'!$I$6)),"x",""))</f>
        <v/>
      </c>
      <c r="U793" s="55" t="str">
        <f>IF(AND('3411-CT'!$F$9=H793,OR(LEFT(L793,3)=$U$7,LEFT(M793,3)=$U$7)),"x","")</f>
        <v/>
      </c>
      <c r="V793" s="55" t="str">
        <f>IF(OR(TH!L793=TH!$V$7,M793=TH!$V$7),"x","")</f>
        <v/>
      </c>
      <c r="W793" s="55" t="str">
        <f>IF(AND(OR(L793="131",M793="131"),H793='131-CT'!$E$7),"x","")</f>
        <v/>
      </c>
      <c r="X793" s="55" t="str">
        <f>IF(AND(B793&gt;='IN-NX'!$P$3,B793&lt;='IN-NX'!$Q$3,'IN-NX'!$D$7=D793,OR(LEFT(TH!L793,2)="15",LEFT(TH!M793,2)="15")),"x","")</f>
        <v/>
      </c>
      <c r="Y793" s="55" t="str">
        <f>IF(AND(OR(LEFT(TH!L793,2)="15",LEFT(TH!M793,2)="15"),'152-CT'!$J$8=TH!F793),"x","")</f>
        <v/>
      </c>
      <c r="Z793" s="55" t="str">
        <f>IF(AND(OR(LEFT(TH!L793,2)="15",LEFT(TH!M793,2)="15"),TK!$E$7=TH!F793),"x","")</f>
        <v/>
      </c>
      <c r="AA793" s="55" t="str">
        <f>IF(AND(B793&lt;=NKC!$N$8,B793&gt;=NKC!$M$8),"x","")</f>
        <v/>
      </c>
      <c r="AC793" s="226" t="str">
        <f>IF(ISNA(VLOOKUP(F793,NXT!$C$18:$C$347,1,0)),x,"")</f>
        <v/>
      </c>
    </row>
    <row r="794" spans="1:29" s="689" customFormat="1" ht="15.75" customHeight="1">
      <c r="A794" s="219" t="str">
        <f>IF(B794&lt;&gt;"",IF(AND(B794&gt;=_TM1,B794&lt;=_TM2,OR(TH!L794="1111",TH!M794="1111")),TH!D794,""),"")</f>
        <v/>
      </c>
      <c r="B794" s="36">
        <f t="shared" si="34"/>
        <v>9</v>
      </c>
      <c r="C794" s="37">
        <v>41157</v>
      </c>
      <c r="D794" s="205" t="s">
        <v>1113</v>
      </c>
      <c r="E794" s="195">
        <v>41157</v>
      </c>
      <c r="F794" s="203" t="s">
        <v>573</v>
      </c>
      <c r="G794" s="577" t="s">
        <v>1055</v>
      </c>
      <c r="H794" s="7" t="s">
        <v>487</v>
      </c>
      <c r="I794" s="277"/>
      <c r="J794" s="277"/>
      <c r="K794" s="698">
        <v>733620</v>
      </c>
      <c r="L794" s="891" t="s">
        <v>9</v>
      </c>
      <c r="M794" s="699" t="s">
        <v>8</v>
      </c>
      <c r="N794" s="55" t="str">
        <f>IF(AND('331-CT'!$E$7=TH!H794,OR(L794="331",M794="331")),"x","")</f>
        <v/>
      </c>
      <c r="O794" s="55" t="str">
        <f>IF(AND($B794&gt;='111'!$N$11,$B794&lt;='111'!$O$11,OR($L794=$O$7,$M794=$O$7)),"x","")</f>
        <v/>
      </c>
      <c r="P794" s="55" t="str">
        <f>IF(AND($L794=$O$7,$B794&lt;'111'!$N$11),"x","")</f>
        <v/>
      </c>
      <c r="Q794" s="55" t="str">
        <f>IF(AND($M794=$O$7,$B794&lt;'111'!$N$11),"x","")</f>
        <v/>
      </c>
      <c r="R794" s="55" t="str">
        <f>IF(ISERROR(FIND('112'!$M$9,G794,1)),"",IF((AND(FIND('112'!$M$9,G794,1)&gt;=1,$B794&gt;='112'!$N$8,$B794&lt;='112'!$O$8,OR($L794='112'!$I$6,$M794='112'!$I$6))),"x",""))</f>
        <v/>
      </c>
      <c r="S794" s="55" t="str">
        <f>IF(ISERROR(FIND('112'!$M$9,G794,1)),"",IF((AND(LEFT(G794,2)=LEFT('112'!$M$9,2),B794&lt;'112'!$N$8,$L794='112'!$I$6)),"x",""))</f>
        <v/>
      </c>
      <c r="T794" s="55" t="str">
        <f>IF(ISERROR(FIND('112'!$M$9,G794,1)),"",IF((AND(RIGHT(G794,2)=RIGHT('112'!$M$9,2),B794&lt;'112'!$N$8,$M794='112'!$I$6)),"x",""))</f>
        <v/>
      </c>
      <c r="U794" s="55" t="str">
        <f>IF(AND('3411-CT'!$F$9=H794,OR(LEFT(L794,3)=$U$7,LEFT(M794,3)=$U$7)),"x","")</f>
        <v/>
      </c>
      <c r="V794" s="55" t="str">
        <f>IF(OR(TH!L794=TH!$V$7,M794=TH!$V$7),"x","")</f>
        <v/>
      </c>
      <c r="W794" s="55" t="str">
        <f>IF(AND(OR(L794="131",M794="131"),H794='131-CT'!$E$7),"x","")</f>
        <v/>
      </c>
      <c r="X794" s="55" t="str">
        <f>IF(AND(B794&gt;='IN-NX'!$P$3,B794&lt;='IN-NX'!$Q$3,'IN-NX'!$D$7=D794,OR(LEFT(TH!L794,2)="15",LEFT(TH!M794,2)="15")),"x","")</f>
        <v/>
      </c>
      <c r="Y794" s="55" t="str">
        <f>IF(AND(OR(LEFT(TH!L794,2)="15",LEFT(TH!M794,2)="15"),'152-CT'!$J$8=TH!F794),"x","")</f>
        <v/>
      </c>
      <c r="Z794" s="55" t="str">
        <f>IF(AND(OR(LEFT(TH!L794,2)="15",LEFT(TH!M794,2)="15"),TK!$E$7=TH!F794),"x","")</f>
        <v/>
      </c>
      <c r="AA794" s="55" t="str">
        <f>IF(AND(B794&lt;=NKC!$N$8,B794&gt;=NKC!$M$8),"x","")</f>
        <v/>
      </c>
    </row>
    <row r="795" spans="1:29" s="689" customFormat="1" ht="15.75" customHeight="1">
      <c r="A795" s="219" t="str">
        <f>IF(B795&lt;&gt;"",IF(AND(B795&gt;=_TM1,B795&lt;=_TM2,OR(TH!L795="1111",TH!M795="1111")),TH!D795,""),"")</f>
        <v/>
      </c>
      <c r="B795" s="36">
        <f t="shared" si="34"/>
        <v>9</v>
      </c>
      <c r="C795" s="37">
        <v>41160</v>
      </c>
      <c r="D795" s="205" t="s">
        <v>1114</v>
      </c>
      <c r="E795" s="195">
        <v>41160</v>
      </c>
      <c r="F795" s="203" t="s">
        <v>819</v>
      </c>
      <c r="G795" s="203" t="s">
        <v>1056</v>
      </c>
      <c r="H795" s="7" t="s">
        <v>487</v>
      </c>
      <c r="I795" s="277">
        <v>300</v>
      </c>
      <c r="J795" s="277">
        <v>8924</v>
      </c>
      <c r="K795" s="698">
        <v>2677200</v>
      </c>
      <c r="L795" s="699" t="s">
        <v>186</v>
      </c>
      <c r="M795" s="699" t="s">
        <v>8</v>
      </c>
      <c r="N795" s="55" t="str">
        <f>IF(AND('331-CT'!$E$7=TH!H795,OR(L795="331",M795="331")),"x","")</f>
        <v/>
      </c>
      <c r="O795" s="55" t="str">
        <f>IF(AND($B795&gt;='111'!$N$11,$B795&lt;='111'!$O$11,OR($L795=$O$7,$M795=$O$7)),"x","")</f>
        <v/>
      </c>
      <c r="P795" s="55" t="str">
        <f>IF(AND($L795=$O$7,$B795&lt;'111'!$N$11),"x","")</f>
        <v/>
      </c>
      <c r="Q795" s="55" t="str">
        <f>IF(AND($M795=$O$7,$B795&lt;'111'!$N$11),"x","")</f>
        <v/>
      </c>
      <c r="R795" s="55" t="str">
        <f>IF(ISERROR(FIND('112'!$M$9,G795,1)),"",IF((AND(FIND('112'!$M$9,G795,1)&gt;=1,$B795&gt;='112'!$N$8,$B795&lt;='112'!$O$8,OR($L795='112'!$I$6,$M795='112'!$I$6))),"x",""))</f>
        <v/>
      </c>
      <c r="S795" s="55" t="str">
        <f>IF(ISERROR(FIND('112'!$M$9,G795,1)),"",IF((AND(LEFT(G795,2)=LEFT('112'!$M$9,2),B795&lt;'112'!$N$8,$L795='112'!$I$6)),"x",""))</f>
        <v/>
      </c>
      <c r="T795" s="55" t="str">
        <f>IF(ISERROR(FIND('112'!$M$9,G795,1)),"",IF((AND(RIGHT(G795,2)=RIGHT('112'!$M$9,2),B795&lt;'112'!$N$8,$M795='112'!$I$6)),"x",""))</f>
        <v/>
      </c>
      <c r="U795" s="55" t="str">
        <f>IF(AND('3411-CT'!$F$9=H795,OR(LEFT(L795,3)=$U$7,LEFT(M795,3)=$U$7)),"x","")</f>
        <v/>
      </c>
      <c r="V795" s="55" t="str">
        <f>IF(OR(TH!L795=TH!$V$7,M795=TH!$V$7),"x","")</f>
        <v/>
      </c>
      <c r="W795" s="55" t="str">
        <f>IF(AND(OR(L795="131",M795="131"),H795='131-CT'!$E$7),"x","")</f>
        <v/>
      </c>
      <c r="X795" s="55" t="str">
        <f>IF(AND(B795&gt;='IN-NX'!$P$3,B795&lt;='IN-NX'!$Q$3,'IN-NX'!$D$7=D795,OR(LEFT(TH!L795,2)="15",LEFT(TH!M795,2)="15")),"x","")</f>
        <v/>
      </c>
      <c r="Y795" s="55" t="str">
        <f>IF(AND(OR(LEFT(TH!L795,2)="15",LEFT(TH!M795,2)="15"),'152-CT'!$J$8=TH!F795),"x","")</f>
        <v/>
      </c>
      <c r="Z795" s="55" t="str">
        <f>IF(AND(OR(LEFT(TH!L795,2)="15",LEFT(TH!M795,2)="15"),TK!$E$7=TH!F795),"x","")</f>
        <v/>
      </c>
      <c r="AA795" s="55" t="str">
        <f>IF(AND(B795&lt;=NKC!$N$8,B795&gt;=NKC!$M$8),"x","")</f>
        <v/>
      </c>
      <c r="AC795" s="226" t="str">
        <f>IF(ISNA(VLOOKUP(F795,NXT!$C$18:$C$347,1,0)),x,"")</f>
        <v/>
      </c>
    </row>
    <row r="796" spans="1:29" s="689" customFormat="1" ht="15.75" customHeight="1">
      <c r="A796" s="219" t="str">
        <f>IF(B796&lt;&gt;"",IF(AND(B796&gt;=_TM1,B796&lt;=_TM2,OR(TH!L796="1111",TH!M796="1111")),TH!D796,""),"")</f>
        <v/>
      </c>
      <c r="B796" s="36">
        <f t="shared" si="34"/>
        <v>9</v>
      </c>
      <c r="C796" s="37">
        <v>41160</v>
      </c>
      <c r="D796" s="205" t="s">
        <v>1114</v>
      </c>
      <c r="E796" s="195">
        <v>41160</v>
      </c>
      <c r="F796" s="203" t="s">
        <v>747</v>
      </c>
      <c r="G796" s="577" t="s">
        <v>1056</v>
      </c>
      <c r="H796" s="7" t="s">
        <v>487</v>
      </c>
      <c r="I796" s="277">
        <v>250</v>
      </c>
      <c r="J796" s="277">
        <v>17574</v>
      </c>
      <c r="K796" s="698">
        <v>4393500</v>
      </c>
      <c r="L796" s="891" t="s">
        <v>186</v>
      </c>
      <c r="M796" s="699" t="s">
        <v>8</v>
      </c>
      <c r="N796" s="55" t="str">
        <f>IF(AND('331-CT'!$E$7=TH!H796,OR(L796="331",M796="331")),"x","")</f>
        <v/>
      </c>
      <c r="O796" s="55" t="str">
        <f>IF(AND($B796&gt;='111'!$N$11,$B796&lt;='111'!$O$11,OR($L796=$O$7,$M796=$O$7)),"x","")</f>
        <v/>
      </c>
      <c r="P796" s="55" t="str">
        <f>IF(AND($L796=$O$7,$B796&lt;'111'!$N$11),"x","")</f>
        <v/>
      </c>
      <c r="Q796" s="55" t="str">
        <f>IF(AND($M796=$O$7,$B796&lt;'111'!$N$11),"x","")</f>
        <v/>
      </c>
      <c r="R796" s="55" t="str">
        <f>IF(ISERROR(FIND('112'!$M$9,G796,1)),"",IF((AND(FIND('112'!$M$9,G796,1)&gt;=1,$B796&gt;='112'!$N$8,$B796&lt;='112'!$O$8,OR($L796='112'!$I$6,$M796='112'!$I$6))),"x",""))</f>
        <v/>
      </c>
      <c r="S796" s="55" t="str">
        <f>IF(ISERROR(FIND('112'!$M$9,G796,1)),"",IF((AND(LEFT(G796,2)=LEFT('112'!$M$9,2),B796&lt;'112'!$N$8,$L796='112'!$I$6)),"x",""))</f>
        <v/>
      </c>
      <c r="T796" s="55" t="str">
        <f>IF(ISERROR(FIND('112'!$M$9,G796,1)),"",IF((AND(RIGHT(G796,2)=RIGHT('112'!$M$9,2),B796&lt;'112'!$N$8,$M796='112'!$I$6)),"x",""))</f>
        <v/>
      </c>
      <c r="U796" s="55" t="str">
        <f>IF(AND('3411-CT'!$F$9=H796,OR(LEFT(L796,3)=$U$7,LEFT(M796,3)=$U$7)),"x","")</f>
        <v/>
      </c>
      <c r="V796" s="55" t="str">
        <f>IF(OR(TH!L796=TH!$V$7,M796=TH!$V$7),"x","")</f>
        <v/>
      </c>
      <c r="W796" s="55" t="str">
        <f>IF(AND(OR(L796="131",M796="131"),H796='131-CT'!$E$7),"x","")</f>
        <v/>
      </c>
      <c r="X796" s="55" t="str">
        <f>IF(AND(B796&gt;='IN-NX'!$P$3,B796&lt;='IN-NX'!$Q$3,'IN-NX'!$D$7=D796,OR(LEFT(TH!L796,2)="15",LEFT(TH!M796,2)="15")),"x","")</f>
        <v/>
      </c>
      <c r="Y796" s="55" t="str">
        <f>IF(AND(OR(LEFT(TH!L796,2)="15",LEFT(TH!M796,2)="15"),'152-CT'!$J$8=TH!F796),"x","")</f>
        <v/>
      </c>
      <c r="Z796" s="55" t="str">
        <f>IF(AND(OR(LEFT(TH!L796,2)="15",LEFT(TH!M796,2)="15"),TK!$E$7=TH!F796),"x","")</f>
        <v/>
      </c>
      <c r="AA796" s="55" t="str">
        <f>IF(AND(B796&lt;=NKC!$N$8,B796&gt;=NKC!$M$8),"x","")</f>
        <v/>
      </c>
      <c r="AC796" s="226" t="str">
        <f>IF(ISNA(VLOOKUP(F796,NXT!$C$18:$C$347,1,0)),x,"")</f>
        <v/>
      </c>
    </row>
    <row r="797" spans="1:29" s="689" customFormat="1" ht="15.75" customHeight="1">
      <c r="A797" s="219" t="str">
        <f>IF(B797&lt;&gt;"",IF(AND(B797&gt;=_TM1,B797&lt;=_TM2,OR(TH!L797="1111",TH!M797="1111")),TH!D797,""),"")</f>
        <v/>
      </c>
      <c r="B797" s="36">
        <f t="shared" si="34"/>
        <v>9</v>
      </c>
      <c r="C797" s="37">
        <v>41160</v>
      </c>
      <c r="D797" s="205" t="s">
        <v>1114</v>
      </c>
      <c r="E797" s="195">
        <v>41160</v>
      </c>
      <c r="F797" s="203" t="s">
        <v>1035</v>
      </c>
      <c r="G797" s="203" t="s">
        <v>1056</v>
      </c>
      <c r="H797" s="7" t="s">
        <v>487</v>
      </c>
      <c r="I797" s="277">
        <v>100</v>
      </c>
      <c r="J797" s="277">
        <v>12635</v>
      </c>
      <c r="K797" s="698">
        <v>1263500</v>
      </c>
      <c r="L797" s="891" t="s">
        <v>186</v>
      </c>
      <c r="M797" s="699" t="s">
        <v>8</v>
      </c>
      <c r="N797" s="55" t="str">
        <f>IF(AND('331-CT'!$E$7=TH!H797,OR(L797="331",M797="331")),"x","")</f>
        <v/>
      </c>
      <c r="O797" s="55" t="str">
        <f>IF(AND($B797&gt;='111'!$N$11,$B797&lt;='111'!$O$11,OR($L797=$O$7,$M797=$O$7)),"x","")</f>
        <v/>
      </c>
      <c r="P797" s="55" t="str">
        <f>IF(AND($L797=$O$7,$B797&lt;'111'!$N$11),"x","")</f>
        <v/>
      </c>
      <c r="Q797" s="55" t="str">
        <f>IF(AND($M797=$O$7,$B797&lt;'111'!$N$11),"x","")</f>
        <v/>
      </c>
      <c r="R797" s="55" t="str">
        <f>IF(ISERROR(FIND('112'!$M$9,G797,1)),"",IF((AND(FIND('112'!$M$9,G797,1)&gt;=1,$B797&gt;='112'!$N$8,$B797&lt;='112'!$O$8,OR($L797='112'!$I$6,$M797='112'!$I$6))),"x",""))</f>
        <v/>
      </c>
      <c r="S797" s="55" t="str">
        <f>IF(ISERROR(FIND('112'!$M$9,G797,1)),"",IF((AND(LEFT(G797,2)=LEFT('112'!$M$9,2),B797&lt;'112'!$N$8,$L797='112'!$I$6)),"x",""))</f>
        <v/>
      </c>
      <c r="T797" s="55" t="str">
        <f>IF(ISERROR(FIND('112'!$M$9,G797,1)),"",IF((AND(RIGHT(G797,2)=RIGHT('112'!$M$9,2),B797&lt;'112'!$N$8,$M797='112'!$I$6)),"x",""))</f>
        <v/>
      </c>
      <c r="U797" s="55" t="str">
        <f>IF(AND('3411-CT'!$F$9=H797,OR(LEFT(L797,3)=$U$7,LEFT(M797,3)=$U$7)),"x","")</f>
        <v/>
      </c>
      <c r="V797" s="55" t="str">
        <f>IF(OR(TH!L797=TH!$V$7,M797=TH!$V$7),"x","")</f>
        <v/>
      </c>
      <c r="W797" s="55" t="str">
        <f>IF(AND(OR(L797="131",M797="131"),H797='131-CT'!$E$7),"x","")</f>
        <v/>
      </c>
      <c r="X797" s="55" t="str">
        <f>IF(AND(B797&gt;='IN-NX'!$P$3,B797&lt;='IN-NX'!$Q$3,'IN-NX'!$D$7=D797,OR(LEFT(TH!L797,2)="15",LEFT(TH!M797,2)="15")),"x","")</f>
        <v/>
      </c>
      <c r="Y797" s="55" t="str">
        <f>IF(AND(OR(LEFT(TH!L797,2)="15",LEFT(TH!M797,2)="15"),'152-CT'!$J$8=TH!F797),"x","")</f>
        <v/>
      </c>
      <c r="Z797" s="55" t="str">
        <f>IF(AND(OR(LEFT(TH!L797,2)="15",LEFT(TH!M797,2)="15"),TK!$E$7=TH!F797),"x","")</f>
        <v/>
      </c>
      <c r="AA797" s="55" t="str">
        <f>IF(AND(B797&lt;=NKC!$N$8,B797&gt;=NKC!$M$8),"x","")</f>
        <v/>
      </c>
      <c r="AC797" s="226" t="str">
        <f>IF(ISNA(VLOOKUP(F797,NXT!$C$18:$C$347,1,0)),x,"")</f>
        <v/>
      </c>
    </row>
    <row r="798" spans="1:29" s="689" customFormat="1" ht="15.75" customHeight="1">
      <c r="A798" s="219" t="str">
        <f>IF(B798&lt;&gt;"",IF(AND(B798&gt;=_TM1,B798&lt;=_TM2,OR(TH!L798="1111",TH!M798="1111")),TH!D798,""),"")</f>
        <v/>
      </c>
      <c r="B798" s="36">
        <f t="shared" si="34"/>
        <v>9</v>
      </c>
      <c r="C798" s="37">
        <v>41160</v>
      </c>
      <c r="D798" s="205" t="s">
        <v>1114</v>
      </c>
      <c r="E798" s="195">
        <v>41160</v>
      </c>
      <c r="F798" s="203" t="s">
        <v>573</v>
      </c>
      <c r="G798" s="577" t="s">
        <v>1056</v>
      </c>
      <c r="H798" s="7" t="s">
        <v>487</v>
      </c>
      <c r="I798" s="277"/>
      <c r="J798" s="277"/>
      <c r="K798" s="698">
        <v>833420</v>
      </c>
      <c r="L798" s="891" t="s">
        <v>9</v>
      </c>
      <c r="M798" s="699" t="s">
        <v>8</v>
      </c>
      <c r="N798" s="55" t="str">
        <f>IF(AND('331-CT'!$E$7=TH!H798,OR(L798="331",M798="331")),"x","")</f>
        <v/>
      </c>
      <c r="O798" s="55" t="str">
        <f>IF(AND($B798&gt;='111'!$N$11,$B798&lt;='111'!$O$11,OR($L798=$O$7,$M798=$O$7)),"x","")</f>
        <v/>
      </c>
      <c r="P798" s="55" t="str">
        <f>IF(AND($L798=$O$7,$B798&lt;'111'!$N$11),"x","")</f>
        <v/>
      </c>
      <c r="Q798" s="55" t="str">
        <f>IF(AND($M798=$O$7,$B798&lt;'111'!$N$11),"x","")</f>
        <v/>
      </c>
      <c r="R798" s="55" t="str">
        <f>IF(ISERROR(FIND('112'!$M$9,G798,1)),"",IF((AND(FIND('112'!$M$9,G798,1)&gt;=1,$B798&gt;='112'!$N$8,$B798&lt;='112'!$O$8,OR($L798='112'!$I$6,$M798='112'!$I$6))),"x",""))</f>
        <v/>
      </c>
      <c r="S798" s="55" t="str">
        <f>IF(ISERROR(FIND('112'!$M$9,G798,1)),"",IF((AND(LEFT(G798,2)=LEFT('112'!$M$9,2),B798&lt;'112'!$N$8,$L798='112'!$I$6)),"x",""))</f>
        <v/>
      </c>
      <c r="T798" s="55" t="str">
        <f>IF(ISERROR(FIND('112'!$M$9,G798,1)),"",IF((AND(RIGHT(G798,2)=RIGHT('112'!$M$9,2),B798&lt;'112'!$N$8,$M798='112'!$I$6)),"x",""))</f>
        <v/>
      </c>
      <c r="U798" s="55" t="str">
        <f>IF(AND('3411-CT'!$F$9=H798,OR(LEFT(L798,3)=$U$7,LEFT(M798,3)=$U$7)),"x","")</f>
        <v/>
      </c>
      <c r="V798" s="55" t="str">
        <f>IF(OR(TH!L798=TH!$V$7,M798=TH!$V$7),"x","")</f>
        <v/>
      </c>
      <c r="W798" s="55" t="str">
        <f>IF(AND(OR(L798="131",M798="131"),H798='131-CT'!$E$7),"x","")</f>
        <v/>
      </c>
      <c r="X798" s="55" t="str">
        <f>IF(AND(B798&gt;='IN-NX'!$P$3,B798&lt;='IN-NX'!$Q$3,'IN-NX'!$D$7=D798,OR(LEFT(TH!L798,2)="15",LEFT(TH!M798,2)="15")),"x","")</f>
        <v/>
      </c>
      <c r="Y798" s="55" t="str">
        <f>IF(AND(OR(LEFT(TH!L798,2)="15",LEFT(TH!M798,2)="15"),'152-CT'!$J$8=TH!F798),"x","")</f>
        <v/>
      </c>
      <c r="Z798" s="55" t="str">
        <f>IF(AND(OR(LEFT(TH!L798,2)="15",LEFT(TH!M798,2)="15"),TK!$E$7=TH!F798),"x","")</f>
        <v/>
      </c>
      <c r="AA798" s="55" t="str">
        <f>IF(AND(B798&lt;=NKC!$N$8,B798&gt;=NKC!$M$8),"x","")</f>
        <v/>
      </c>
    </row>
    <row r="799" spans="1:29" s="689" customFormat="1" ht="15.75" customHeight="1">
      <c r="A799" s="219" t="str">
        <f>IF(B799&lt;&gt;"",IF(AND(B799&gt;=_TM1,B799&lt;=_TM2,OR(TH!L799="1111",TH!M799="1111")),TH!D799,""),"")</f>
        <v/>
      </c>
      <c r="B799" s="36">
        <f t="shared" si="34"/>
        <v>9</v>
      </c>
      <c r="C799" s="37">
        <v>41160</v>
      </c>
      <c r="D799" s="205" t="s">
        <v>1115</v>
      </c>
      <c r="E799" s="195">
        <v>41160</v>
      </c>
      <c r="F799" s="203" t="s">
        <v>1057</v>
      </c>
      <c r="G799" s="203" t="s">
        <v>1058</v>
      </c>
      <c r="H799" s="7" t="s">
        <v>487</v>
      </c>
      <c r="I799" s="277">
        <v>100</v>
      </c>
      <c r="J799" s="277">
        <v>16665</v>
      </c>
      <c r="K799" s="698">
        <v>1666500</v>
      </c>
      <c r="L799" s="891" t="s">
        <v>186</v>
      </c>
      <c r="M799" s="699" t="s">
        <v>8</v>
      </c>
      <c r="N799" s="55" t="str">
        <f>IF(AND('331-CT'!$E$7=TH!H799,OR(L799="331",M799="331")),"x","")</f>
        <v/>
      </c>
      <c r="O799" s="55" t="str">
        <f>IF(AND($B799&gt;='111'!$N$11,$B799&lt;='111'!$O$11,OR($L799=$O$7,$M799=$O$7)),"x","")</f>
        <v/>
      </c>
      <c r="P799" s="55" t="str">
        <f>IF(AND($L799=$O$7,$B799&lt;'111'!$N$11),"x","")</f>
        <v/>
      </c>
      <c r="Q799" s="55" t="str">
        <f>IF(AND($M799=$O$7,$B799&lt;'111'!$N$11),"x","")</f>
        <v/>
      </c>
      <c r="R799" s="55" t="str">
        <f>IF(ISERROR(FIND('112'!$M$9,G799,1)),"",IF((AND(FIND('112'!$M$9,G799,1)&gt;=1,$B799&gt;='112'!$N$8,$B799&lt;='112'!$O$8,OR($L799='112'!$I$6,$M799='112'!$I$6))),"x",""))</f>
        <v/>
      </c>
      <c r="S799" s="55" t="str">
        <f>IF(ISERROR(FIND('112'!$M$9,G799,1)),"",IF((AND(LEFT(G799,2)=LEFT('112'!$M$9,2),B799&lt;'112'!$N$8,$L799='112'!$I$6)),"x",""))</f>
        <v/>
      </c>
      <c r="T799" s="55" t="str">
        <f>IF(ISERROR(FIND('112'!$M$9,G799,1)),"",IF((AND(RIGHT(G799,2)=RIGHT('112'!$M$9,2),B799&lt;'112'!$N$8,$M799='112'!$I$6)),"x",""))</f>
        <v/>
      </c>
      <c r="U799" s="55" t="str">
        <f>IF(AND('3411-CT'!$F$9=H799,OR(LEFT(L799,3)=$U$7,LEFT(M799,3)=$U$7)),"x","")</f>
        <v/>
      </c>
      <c r="V799" s="55" t="str">
        <f>IF(OR(TH!L799=TH!$V$7,M799=TH!$V$7),"x","")</f>
        <v/>
      </c>
      <c r="W799" s="55" t="str">
        <f>IF(AND(OR(L799="131",M799="131"),H799='131-CT'!$E$7),"x","")</f>
        <v/>
      </c>
      <c r="X799" s="55" t="str">
        <f>IF(AND(B799&gt;='IN-NX'!$P$3,B799&lt;='IN-NX'!$Q$3,'IN-NX'!$D$7=D799,OR(LEFT(TH!L799,2)="15",LEFT(TH!M799,2)="15")),"x","")</f>
        <v/>
      </c>
      <c r="Y799" s="55" t="str">
        <f>IF(AND(OR(LEFT(TH!L799,2)="15",LEFT(TH!M799,2)="15"),'152-CT'!$J$8=TH!F799),"x","")</f>
        <v/>
      </c>
      <c r="Z799" s="55" t="str">
        <f>IF(AND(OR(LEFT(TH!L799,2)="15",LEFT(TH!M799,2)="15"),TK!$E$7=TH!F799),"x","")</f>
        <v/>
      </c>
      <c r="AA799" s="55" t="str">
        <f>IF(AND(B799&lt;=NKC!$N$8,B799&gt;=NKC!$M$8),"x","")</f>
        <v/>
      </c>
      <c r="AC799" s="226" t="str">
        <f>IF(ISNA(VLOOKUP(F799,NXT!$C$18:$C$347,1,0)),x,"")</f>
        <v/>
      </c>
    </row>
    <row r="800" spans="1:29" s="689" customFormat="1" ht="15.75" customHeight="1">
      <c r="A800" s="219" t="str">
        <f>IF(B800&lt;&gt;"",IF(AND(B800&gt;=_TM1,B800&lt;=_TM2,OR(TH!L800="1111",TH!M800="1111")),TH!D800,""),"")</f>
        <v/>
      </c>
      <c r="B800" s="36">
        <f t="shared" si="34"/>
        <v>9</v>
      </c>
      <c r="C800" s="37">
        <v>41160</v>
      </c>
      <c r="D800" s="205" t="s">
        <v>1115</v>
      </c>
      <c r="E800" s="195">
        <v>41160</v>
      </c>
      <c r="F800" s="203" t="s">
        <v>1059</v>
      </c>
      <c r="G800" s="577" t="s">
        <v>1058</v>
      </c>
      <c r="H800" s="7" t="s">
        <v>487</v>
      </c>
      <c r="I800" s="277">
        <v>1000</v>
      </c>
      <c r="J800" s="277">
        <v>19979</v>
      </c>
      <c r="K800" s="698">
        <v>19979000</v>
      </c>
      <c r="L800" s="891" t="s">
        <v>186</v>
      </c>
      <c r="M800" s="699" t="s">
        <v>8</v>
      </c>
      <c r="N800" s="55" t="str">
        <f>IF(AND('331-CT'!$E$7=TH!H800,OR(L800="331",M800="331")),"x","")</f>
        <v/>
      </c>
      <c r="O800" s="55" t="str">
        <f>IF(AND($B800&gt;='111'!$N$11,$B800&lt;='111'!$O$11,OR($L800=$O$7,$M800=$O$7)),"x","")</f>
        <v/>
      </c>
      <c r="P800" s="55" t="str">
        <f>IF(AND($L800=$O$7,$B800&lt;'111'!$N$11),"x","")</f>
        <v/>
      </c>
      <c r="Q800" s="55" t="str">
        <f>IF(AND($M800=$O$7,$B800&lt;'111'!$N$11),"x","")</f>
        <v/>
      </c>
      <c r="R800" s="55" t="str">
        <f>IF(ISERROR(FIND('112'!$M$9,G800,1)),"",IF((AND(FIND('112'!$M$9,G800,1)&gt;=1,$B800&gt;='112'!$N$8,$B800&lt;='112'!$O$8,OR($L800='112'!$I$6,$M800='112'!$I$6))),"x",""))</f>
        <v/>
      </c>
      <c r="S800" s="55" t="str">
        <f>IF(ISERROR(FIND('112'!$M$9,G800,1)),"",IF((AND(LEFT(G800,2)=LEFT('112'!$M$9,2),B800&lt;'112'!$N$8,$L800='112'!$I$6)),"x",""))</f>
        <v/>
      </c>
      <c r="T800" s="55" t="str">
        <f>IF(ISERROR(FIND('112'!$M$9,G800,1)),"",IF((AND(RIGHT(G800,2)=RIGHT('112'!$M$9,2),B800&lt;'112'!$N$8,$M800='112'!$I$6)),"x",""))</f>
        <v/>
      </c>
      <c r="U800" s="55" t="str">
        <f>IF(AND('3411-CT'!$F$9=H800,OR(LEFT(L800,3)=$U$7,LEFT(M800,3)=$U$7)),"x","")</f>
        <v/>
      </c>
      <c r="V800" s="55" t="str">
        <f>IF(OR(TH!L800=TH!$V$7,M800=TH!$V$7),"x","")</f>
        <v/>
      </c>
      <c r="W800" s="55" t="str">
        <f>IF(AND(OR(L800="131",M800="131"),H800='131-CT'!$E$7),"x","")</f>
        <v/>
      </c>
      <c r="X800" s="55" t="str">
        <f>IF(AND(B800&gt;='IN-NX'!$P$3,B800&lt;='IN-NX'!$Q$3,'IN-NX'!$D$7=D800,OR(LEFT(TH!L800,2)="15",LEFT(TH!M800,2)="15")),"x","")</f>
        <v/>
      </c>
      <c r="Y800" s="55" t="str">
        <f>IF(AND(OR(LEFT(TH!L800,2)="15",LEFT(TH!M800,2)="15"),'152-CT'!$J$8=TH!F800),"x","")</f>
        <v/>
      </c>
      <c r="Z800" s="55" t="str">
        <f>IF(AND(OR(LEFT(TH!L800,2)="15",LEFT(TH!M800,2)="15"),TK!$E$7=TH!F800),"x","")</f>
        <v/>
      </c>
      <c r="AA800" s="55" t="str">
        <f>IF(AND(B800&lt;=NKC!$N$8,B800&gt;=NKC!$M$8),"x","")</f>
        <v/>
      </c>
      <c r="AC800" s="226" t="str">
        <f>IF(ISNA(VLOOKUP(F800,NXT!$C$18:$C$347,1,0)),x,"")</f>
        <v/>
      </c>
    </row>
    <row r="801" spans="1:29" s="689" customFormat="1" ht="15.75" customHeight="1">
      <c r="A801" s="219" t="str">
        <f>IF(B801&lt;&gt;"",IF(AND(B801&gt;=_TM1,B801&lt;=_TM2,OR(TH!L801="1111",TH!M801="1111")),TH!D801,""),"")</f>
        <v/>
      </c>
      <c r="B801" s="36">
        <f t="shared" si="34"/>
        <v>9</v>
      </c>
      <c r="C801" s="37">
        <v>41160</v>
      </c>
      <c r="D801" s="205" t="s">
        <v>1115</v>
      </c>
      <c r="E801" s="195">
        <v>41160</v>
      </c>
      <c r="F801" s="203" t="s">
        <v>1059</v>
      </c>
      <c r="G801" s="203" t="s">
        <v>1058</v>
      </c>
      <c r="H801" s="7" t="s">
        <v>487</v>
      </c>
      <c r="I801" s="277">
        <v>250</v>
      </c>
      <c r="J801" s="277">
        <v>18628</v>
      </c>
      <c r="K801" s="698">
        <v>4657000</v>
      </c>
      <c r="L801" s="891" t="s">
        <v>186</v>
      </c>
      <c r="M801" s="699" t="s">
        <v>8</v>
      </c>
      <c r="N801" s="55" t="str">
        <f>IF(AND('331-CT'!$E$7=TH!H801,OR(L801="331",M801="331")),"x","")</f>
        <v/>
      </c>
      <c r="O801" s="55" t="str">
        <f>IF(AND($B801&gt;='111'!$N$11,$B801&lt;='111'!$O$11,OR($L801=$O$7,$M801=$O$7)),"x","")</f>
        <v/>
      </c>
      <c r="P801" s="55" t="str">
        <f>IF(AND($L801=$O$7,$B801&lt;'111'!$N$11),"x","")</f>
        <v/>
      </c>
      <c r="Q801" s="55" t="str">
        <f>IF(AND($M801=$O$7,$B801&lt;'111'!$N$11),"x","")</f>
        <v/>
      </c>
      <c r="R801" s="55" t="str">
        <f>IF(ISERROR(FIND('112'!$M$9,G801,1)),"",IF((AND(FIND('112'!$M$9,G801,1)&gt;=1,$B801&gt;='112'!$N$8,$B801&lt;='112'!$O$8,OR($L801='112'!$I$6,$M801='112'!$I$6))),"x",""))</f>
        <v/>
      </c>
      <c r="S801" s="55" t="str">
        <f>IF(ISERROR(FIND('112'!$M$9,G801,1)),"",IF((AND(LEFT(G801,2)=LEFT('112'!$M$9,2),B801&lt;'112'!$N$8,$L801='112'!$I$6)),"x",""))</f>
        <v/>
      </c>
      <c r="T801" s="55" t="str">
        <f>IF(ISERROR(FIND('112'!$M$9,G801,1)),"",IF((AND(RIGHT(G801,2)=RIGHT('112'!$M$9,2),B801&lt;'112'!$N$8,$M801='112'!$I$6)),"x",""))</f>
        <v/>
      </c>
      <c r="U801" s="55" t="str">
        <f>IF(AND('3411-CT'!$F$9=H801,OR(LEFT(L801,3)=$U$7,LEFT(M801,3)=$U$7)),"x","")</f>
        <v/>
      </c>
      <c r="V801" s="55" t="str">
        <f>IF(OR(TH!L801=TH!$V$7,M801=TH!$V$7),"x","")</f>
        <v/>
      </c>
      <c r="W801" s="55" t="str">
        <f>IF(AND(OR(L801="131",M801="131"),H801='131-CT'!$E$7),"x","")</f>
        <v/>
      </c>
      <c r="X801" s="55" t="str">
        <f>IF(AND(B801&gt;='IN-NX'!$P$3,B801&lt;='IN-NX'!$Q$3,'IN-NX'!$D$7=D801,OR(LEFT(TH!L801,2)="15",LEFT(TH!M801,2)="15")),"x","")</f>
        <v/>
      </c>
      <c r="Y801" s="55" t="str">
        <f>IF(AND(OR(LEFT(TH!L801,2)="15",LEFT(TH!M801,2)="15"),'152-CT'!$J$8=TH!F801),"x","")</f>
        <v/>
      </c>
      <c r="Z801" s="55" t="str">
        <f>IF(AND(OR(LEFT(TH!L801,2)="15",LEFT(TH!M801,2)="15"),TK!$E$7=TH!F801),"x","")</f>
        <v/>
      </c>
      <c r="AA801" s="55" t="str">
        <f>IF(AND(B801&lt;=NKC!$N$8,B801&gt;=NKC!$M$8),"x","")</f>
        <v/>
      </c>
      <c r="AC801" s="226" t="str">
        <f>IF(ISNA(VLOOKUP(F801,NXT!$C$18:$C$347,1,0)),x,"")</f>
        <v/>
      </c>
    </row>
    <row r="802" spans="1:29" s="689" customFormat="1" ht="15.75" customHeight="1">
      <c r="A802" s="219" t="str">
        <f>IF(B802&lt;&gt;"",IF(AND(B802&gt;=_TM1,B802&lt;=_TM2,OR(TH!L802="1111",TH!M802="1111")),TH!D802,""),"")</f>
        <v/>
      </c>
      <c r="B802" s="36">
        <f t="shared" si="34"/>
        <v>9</v>
      </c>
      <c r="C802" s="37">
        <v>41160</v>
      </c>
      <c r="D802" s="205" t="s">
        <v>1115</v>
      </c>
      <c r="E802" s="195">
        <v>41160</v>
      </c>
      <c r="F802" s="203" t="s">
        <v>573</v>
      </c>
      <c r="G802" s="577" t="s">
        <v>1058</v>
      </c>
      <c r="H802" s="7" t="s">
        <v>487</v>
      </c>
      <c r="I802" s="277"/>
      <c r="J802" s="277"/>
      <c r="K802" s="698">
        <v>2630250</v>
      </c>
      <c r="L802" s="891" t="s">
        <v>9</v>
      </c>
      <c r="M802" s="699" t="s">
        <v>8</v>
      </c>
      <c r="N802" s="55" t="str">
        <f>IF(AND('331-CT'!$E$7=TH!H802,OR(L802="331",M802="331")),"x","")</f>
        <v/>
      </c>
      <c r="O802" s="55" t="str">
        <f>IF(AND($B802&gt;='111'!$N$11,$B802&lt;='111'!$O$11,OR($L802=$O$7,$M802=$O$7)),"x","")</f>
        <v/>
      </c>
      <c r="P802" s="55" t="str">
        <f>IF(AND($L802=$O$7,$B802&lt;'111'!$N$11),"x","")</f>
        <v/>
      </c>
      <c r="Q802" s="55" t="str">
        <f>IF(AND($M802=$O$7,$B802&lt;'111'!$N$11),"x","")</f>
        <v/>
      </c>
      <c r="R802" s="55" t="str">
        <f>IF(ISERROR(FIND('112'!$M$9,G802,1)),"",IF((AND(FIND('112'!$M$9,G802,1)&gt;=1,$B802&gt;='112'!$N$8,$B802&lt;='112'!$O$8,OR($L802='112'!$I$6,$M802='112'!$I$6))),"x",""))</f>
        <v/>
      </c>
      <c r="S802" s="55" t="str">
        <f>IF(ISERROR(FIND('112'!$M$9,G802,1)),"",IF((AND(LEFT(G802,2)=LEFT('112'!$M$9,2),B802&lt;'112'!$N$8,$L802='112'!$I$6)),"x",""))</f>
        <v/>
      </c>
      <c r="T802" s="55" t="str">
        <f>IF(ISERROR(FIND('112'!$M$9,G802,1)),"",IF((AND(RIGHT(G802,2)=RIGHT('112'!$M$9,2),B802&lt;'112'!$N$8,$M802='112'!$I$6)),"x",""))</f>
        <v/>
      </c>
      <c r="U802" s="55" t="str">
        <f>IF(AND('3411-CT'!$F$9=H802,OR(LEFT(L802,3)=$U$7,LEFT(M802,3)=$U$7)),"x","")</f>
        <v/>
      </c>
      <c r="V802" s="55" t="str">
        <f>IF(OR(TH!L802=TH!$V$7,M802=TH!$V$7),"x","")</f>
        <v/>
      </c>
      <c r="W802" s="55" t="str">
        <f>IF(AND(OR(L802="131",M802="131"),H802='131-CT'!$E$7),"x","")</f>
        <v/>
      </c>
      <c r="X802" s="55" t="str">
        <f>IF(AND(B802&gt;='IN-NX'!$P$3,B802&lt;='IN-NX'!$Q$3,'IN-NX'!$D$7=D802,OR(LEFT(TH!L802,2)="15",LEFT(TH!M802,2)="15")),"x","")</f>
        <v/>
      </c>
      <c r="Y802" s="55" t="str">
        <f>IF(AND(OR(LEFT(TH!L802,2)="15",LEFT(TH!M802,2)="15"),'152-CT'!$J$8=TH!F802),"x","")</f>
        <v/>
      </c>
      <c r="Z802" s="55" t="str">
        <f>IF(AND(OR(LEFT(TH!L802,2)="15",LEFT(TH!M802,2)="15"),TK!$E$7=TH!F802),"x","")</f>
        <v/>
      </c>
      <c r="AA802" s="55" t="str">
        <f>IF(AND(B802&lt;=NKC!$N$8,B802&gt;=NKC!$M$8),"x","")</f>
        <v/>
      </c>
    </row>
    <row r="803" spans="1:29" s="689" customFormat="1" ht="15.75" customHeight="1">
      <c r="A803" s="219" t="str">
        <f>IF(B803&lt;&gt;"",IF(AND(B803&gt;=_TM1,B803&lt;=_TM2,OR(TH!L803="1111",TH!M803="1111")),TH!D803,""),"")</f>
        <v/>
      </c>
      <c r="B803" s="36">
        <f t="shared" si="34"/>
        <v>9</v>
      </c>
      <c r="C803" s="37">
        <v>41162</v>
      </c>
      <c r="D803" s="195" t="s">
        <v>504</v>
      </c>
      <c r="E803" s="195">
        <v>41162</v>
      </c>
      <c r="F803" s="203" t="s">
        <v>451</v>
      </c>
      <c r="G803" s="203" t="s">
        <v>401</v>
      </c>
      <c r="H803" s="207" t="s">
        <v>452</v>
      </c>
      <c r="I803" s="277"/>
      <c r="J803" s="277"/>
      <c r="K803" s="698">
        <v>10000000</v>
      </c>
      <c r="L803" s="891" t="s">
        <v>24</v>
      </c>
      <c r="M803" s="891" t="s">
        <v>49</v>
      </c>
      <c r="N803" s="55" t="str">
        <f>IF(AND('331-CT'!$E$7=TH!H803,OR(L803="331",M803="331")),"x","")</f>
        <v/>
      </c>
      <c r="O803" s="55" t="str">
        <f>IF(AND($B803&gt;='111'!$N$11,$B803&lt;='111'!$O$11,OR($L803=$O$7,$M803=$O$7)),"x","")</f>
        <v/>
      </c>
      <c r="P803" s="55" t="str">
        <f>IF(AND($L803=$O$7,$B803&lt;'111'!$N$11),"x","")</f>
        <v/>
      </c>
      <c r="Q803" s="55" t="str">
        <f>IF(AND($M803=$O$7,$B803&lt;'111'!$N$11),"x","")</f>
        <v>x</v>
      </c>
      <c r="R803" s="55" t="str">
        <f>IF(ISERROR(FIND('112'!$M$9,G803,1)),"",IF((AND(FIND('112'!$M$9,G803,1)&gt;=1,$B803&gt;='112'!$N$8,$B803&lt;='112'!$O$8,OR($L803='112'!$I$6,$M803='112'!$I$6))),"x",""))</f>
        <v>x</v>
      </c>
      <c r="S803" s="55" t="str">
        <f>IF(ISERROR(FIND('112'!$M$9,G803,1)),"",IF((AND(LEFT(G803,2)=LEFT('112'!$M$9,2),B803&lt;'112'!$N$8,$L803='112'!$I$6)),"x",""))</f>
        <v/>
      </c>
      <c r="T803" s="55" t="str">
        <f>IF(ISERROR(FIND('112'!$M$9,G803,1)),"",IF((AND(RIGHT(G803,2)=RIGHT('112'!$M$9,2),B803&lt;'112'!$N$8,$M803='112'!$I$6)),"x",""))</f>
        <v/>
      </c>
      <c r="U803" s="55" t="str">
        <f>IF(AND('3411-CT'!$F$9=H803,OR(LEFT(L803,3)=$U$7,LEFT(M803,3)=$U$7)),"x","")</f>
        <v/>
      </c>
      <c r="V803" s="55" t="str">
        <f>IF(OR(TH!L803=TH!$V$7,M803=TH!$V$7),"x","")</f>
        <v/>
      </c>
      <c r="W803" s="55" t="str">
        <f>IF(AND(OR(L803="131",M803="131"),H803='131-CT'!$E$7),"x","")</f>
        <v/>
      </c>
      <c r="X803" s="55" t="str">
        <f>IF(AND(B803&gt;='IN-NX'!$P$3,B803&lt;='IN-NX'!$Q$3,'IN-NX'!$D$7=D803,OR(LEFT(TH!L803,2)="15",LEFT(TH!M803,2)="15")),"x","")</f>
        <v/>
      </c>
      <c r="Y803" s="55" t="str">
        <f>IF(AND(OR(LEFT(TH!L803,2)="15",LEFT(TH!M803,2)="15"),'152-CT'!$J$8=TH!F803),"x","")</f>
        <v/>
      </c>
      <c r="Z803" s="55" t="str">
        <f>IF(AND(OR(LEFT(TH!L803,2)="15",LEFT(TH!M803,2)="15"),TK!$E$7=TH!F803),"x","")</f>
        <v/>
      </c>
      <c r="AA803" s="55" t="str">
        <f>IF(AND(B803&lt;=NKC!$N$8,B803&gt;=NKC!$M$8),"x","")</f>
        <v/>
      </c>
    </row>
    <row r="804" spans="1:29" s="689" customFormat="1" ht="15.75" customHeight="1">
      <c r="A804" s="219" t="str">
        <f>IF(B804&lt;&gt;"",IF(AND(B804&gt;=_TM1,B804&lt;=_TM2,OR(TH!L804="1111",TH!M804="1111")),TH!D804,""),"")</f>
        <v/>
      </c>
      <c r="B804" s="36">
        <f t="shared" si="34"/>
        <v>9</v>
      </c>
      <c r="C804" s="37">
        <v>41162</v>
      </c>
      <c r="D804" s="195" t="s">
        <v>405</v>
      </c>
      <c r="E804" s="195">
        <v>41162</v>
      </c>
      <c r="F804" s="203" t="s">
        <v>455</v>
      </c>
      <c r="G804" s="577" t="s">
        <v>401</v>
      </c>
      <c r="H804" s="207"/>
      <c r="I804" s="277"/>
      <c r="J804" s="277"/>
      <c r="K804" s="698">
        <v>35000000</v>
      </c>
      <c r="L804" s="891" t="s">
        <v>8</v>
      </c>
      <c r="M804" s="891" t="s">
        <v>24</v>
      </c>
      <c r="N804" s="55" t="str">
        <f>IF(AND('331-CT'!$E$7=TH!H804,OR(L804="331",M804="331")),"x","")</f>
        <v/>
      </c>
      <c r="O804" s="55" t="str">
        <f>IF(AND($B804&gt;='111'!$N$11,$B804&lt;='111'!$O$11,OR($L804=$O$7,$M804=$O$7)),"x","")</f>
        <v/>
      </c>
      <c r="P804" s="55" t="str">
        <f>IF(AND($L804=$O$7,$B804&lt;'111'!$N$11),"x","")</f>
        <v/>
      </c>
      <c r="Q804" s="55" t="str">
        <f>IF(AND($M804=$O$7,$B804&lt;'111'!$N$11),"x","")</f>
        <v/>
      </c>
      <c r="R804" s="55" t="str">
        <f>IF(ISERROR(FIND('112'!$M$9,G804,1)),"",IF((AND(FIND('112'!$M$9,G804,1)&gt;=1,$B804&gt;='112'!$N$8,$B804&lt;='112'!$O$8,OR($L804='112'!$I$6,$M804='112'!$I$6))),"x",""))</f>
        <v>x</v>
      </c>
      <c r="S804" s="55" t="str">
        <f>IF(ISERROR(FIND('112'!$M$9,G804,1)),"",IF((AND(LEFT(G804,2)=LEFT('112'!$M$9,2),B804&lt;'112'!$N$8,$L804='112'!$I$6)),"x",""))</f>
        <v/>
      </c>
      <c r="T804" s="55" t="str">
        <f>IF(ISERROR(FIND('112'!$M$9,G804,1)),"",IF((AND(RIGHT(G804,2)=RIGHT('112'!$M$9,2),B804&lt;'112'!$N$8,$M804='112'!$I$6)),"x",""))</f>
        <v/>
      </c>
      <c r="U804" s="55" t="str">
        <f>IF(AND('3411-CT'!$F$9=H804,OR(LEFT(L804,3)=$U$7,LEFT(M804,3)=$U$7)),"x","")</f>
        <v/>
      </c>
      <c r="V804" s="55" t="str">
        <f>IF(OR(TH!L804=TH!$V$7,M804=TH!$V$7),"x","")</f>
        <v/>
      </c>
      <c r="W804" s="55" t="str">
        <f>IF(AND(OR(L804="131",M804="131"),H804='131-CT'!$E$7),"x","")</f>
        <v/>
      </c>
      <c r="X804" s="55" t="str">
        <f>IF(AND(B804&gt;='IN-NX'!$P$3,B804&lt;='IN-NX'!$Q$3,'IN-NX'!$D$7=D804,OR(LEFT(TH!L804,2)="15",LEFT(TH!M804,2)="15")),"x","")</f>
        <v/>
      </c>
      <c r="Y804" s="55" t="str">
        <f>IF(AND(OR(LEFT(TH!L804,2)="15",LEFT(TH!M804,2)="15"),'152-CT'!$J$8=TH!F804),"x","")</f>
        <v/>
      </c>
      <c r="Z804" s="55" t="str">
        <f>IF(AND(OR(LEFT(TH!L804,2)="15",LEFT(TH!M804,2)="15"),TK!$E$7=TH!F804),"x","")</f>
        <v/>
      </c>
      <c r="AA804" s="55" t="str">
        <f>IF(AND(B804&lt;=NKC!$N$8,B804&gt;=NKC!$M$8),"x","")</f>
        <v/>
      </c>
    </row>
    <row r="805" spans="1:29" s="689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36" si="35">IF(C805&lt;&gt;"",MONTH(C805),"")</f>
        <v>9</v>
      </c>
      <c r="C805" s="37">
        <v>41162</v>
      </c>
      <c r="D805" s="195" t="s">
        <v>405</v>
      </c>
      <c r="E805" s="195">
        <v>41162</v>
      </c>
      <c r="F805" s="203" t="s">
        <v>407</v>
      </c>
      <c r="G805" s="203" t="s">
        <v>401</v>
      </c>
      <c r="H805" s="207"/>
      <c r="I805" s="277"/>
      <c r="J805" s="277"/>
      <c r="K805" s="698">
        <v>20000</v>
      </c>
      <c r="L805" s="891" t="s">
        <v>87</v>
      </c>
      <c r="M805" s="891" t="s">
        <v>24</v>
      </c>
      <c r="N805" s="55" t="str">
        <f>IF(AND('331-CT'!$E$7=TH!H805,OR(L805="331",M805="331")),"x","")</f>
        <v/>
      </c>
      <c r="O805" s="55" t="str">
        <f>IF(AND($B805&gt;='111'!$N$11,$B805&lt;='111'!$O$11,OR($L805=$O$7,$M805=$O$7)),"x","")</f>
        <v/>
      </c>
      <c r="P805" s="55" t="str">
        <f>IF(AND($L805=$O$7,$B805&lt;'111'!$N$11),"x","")</f>
        <v/>
      </c>
      <c r="Q805" s="55" t="str">
        <f>IF(AND($M805=$O$7,$B805&lt;'111'!$N$11),"x","")</f>
        <v/>
      </c>
      <c r="R805" s="55" t="str">
        <f>IF(ISERROR(FIND('112'!$M$9,G805,1)),"",IF((AND(FIND('112'!$M$9,G805,1)&gt;=1,$B805&gt;='112'!$N$8,$B805&lt;='112'!$O$8,OR($L805='112'!$I$6,$M805='112'!$I$6))),"x",""))</f>
        <v>x</v>
      </c>
      <c r="S805" s="55" t="str">
        <f>IF(ISERROR(FIND('112'!$M$9,G805,1)),"",IF((AND(LEFT(G805,2)=LEFT('112'!$M$9,2),B805&lt;'112'!$N$8,$L805='112'!$I$6)),"x",""))</f>
        <v/>
      </c>
      <c r="T805" s="55" t="str">
        <f>IF(ISERROR(FIND('112'!$M$9,G805,1)),"",IF((AND(RIGHT(G805,2)=RIGHT('112'!$M$9,2),B805&lt;'112'!$N$8,$M805='112'!$I$6)),"x",""))</f>
        <v/>
      </c>
      <c r="U805" s="55" t="str">
        <f>IF(AND('3411-CT'!$F$9=H805,OR(LEFT(L805,3)=$U$7,LEFT(M805,3)=$U$7)),"x","")</f>
        <v/>
      </c>
      <c r="V805" s="55" t="str">
        <f>IF(OR(TH!L805=TH!$V$7,M805=TH!$V$7),"x","")</f>
        <v/>
      </c>
      <c r="W805" s="55" t="str">
        <f>IF(AND(OR(L805="131",M805="131"),H805='131-CT'!$E$7),"x","")</f>
        <v/>
      </c>
      <c r="X805" s="55" t="str">
        <f>IF(AND(B805&gt;='IN-NX'!$P$3,B805&lt;='IN-NX'!$Q$3,'IN-NX'!$D$7=D805,OR(LEFT(TH!L805,2)="15",LEFT(TH!M805,2)="15")),"x","")</f>
        <v/>
      </c>
      <c r="Y805" s="55" t="str">
        <f>IF(AND(OR(LEFT(TH!L805,2)="15",LEFT(TH!M805,2)="15"),'152-CT'!$J$8=TH!F805),"x","")</f>
        <v/>
      </c>
      <c r="Z805" s="55" t="str">
        <f>IF(AND(OR(LEFT(TH!L805,2)="15",LEFT(TH!M805,2)="15"),TK!$E$7=TH!F805),"x","")</f>
        <v/>
      </c>
      <c r="AA805" s="55" t="str">
        <f>IF(AND(B805&lt;=NKC!$N$8,B805&gt;=NKC!$M$8),"x","")</f>
        <v/>
      </c>
    </row>
    <row r="806" spans="1:29" s="689" customFormat="1" ht="15.75" customHeight="1">
      <c r="A806" s="219" t="str">
        <f>IF(B806&lt;&gt;"",IF(AND(B806&gt;=_TM1,B806&lt;=_TM2,OR(TH!L806="1111",TH!M806="1111")),TH!D806,""),"")</f>
        <v/>
      </c>
      <c r="B806" s="36">
        <f t="shared" si="35"/>
        <v>9</v>
      </c>
      <c r="C806" s="37">
        <v>41162</v>
      </c>
      <c r="D806" s="195" t="s">
        <v>405</v>
      </c>
      <c r="E806" s="195">
        <v>41162</v>
      </c>
      <c r="F806" s="203" t="s">
        <v>865</v>
      </c>
      <c r="G806" s="203" t="s">
        <v>401</v>
      </c>
      <c r="H806" s="207"/>
      <c r="I806" s="277"/>
      <c r="J806" s="277"/>
      <c r="K806" s="698">
        <v>10000</v>
      </c>
      <c r="L806" s="891" t="s">
        <v>87</v>
      </c>
      <c r="M806" s="891" t="s">
        <v>24</v>
      </c>
      <c r="N806" s="55" t="str">
        <f>IF(AND('331-CT'!$E$7=TH!H806,OR(L806="331",M806="331")),"x","")</f>
        <v/>
      </c>
      <c r="O806" s="55" t="str">
        <f>IF(AND($B806&gt;='111'!$N$11,$B806&lt;='111'!$O$11,OR($L806=$O$7,$M806=$O$7)),"x","")</f>
        <v/>
      </c>
      <c r="P806" s="55" t="str">
        <f>IF(AND($L806=$O$7,$B806&lt;'111'!$N$11),"x","")</f>
        <v/>
      </c>
      <c r="Q806" s="55" t="str">
        <f>IF(AND($M806=$O$7,$B806&lt;'111'!$N$11),"x","")</f>
        <v/>
      </c>
      <c r="R806" s="55" t="str">
        <f>IF(ISERROR(FIND('112'!$M$9,G806,1)),"",IF((AND(FIND('112'!$M$9,G806,1)&gt;=1,$B806&gt;='112'!$N$8,$B806&lt;='112'!$O$8,OR($L806='112'!$I$6,$M806='112'!$I$6))),"x",""))</f>
        <v>x</v>
      </c>
      <c r="S806" s="55" t="str">
        <f>IF(ISERROR(FIND('112'!$M$9,G806,1)),"",IF((AND(LEFT(G806,2)=LEFT('112'!$M$9,2),B806&lt;'112'!$N$8,$L806='112'!$I$6)),"x",""))</f>
        <v/>
      </c>
      <c r="T806" s="55" t="str">
        <f>IF(ISERROR(FIND('112'!$M$9,G806,1)),"",IF((AND(RIGHT(G806,2)=RIGHT('112'!$M$9,2),B806&lt;'112'!$N$8,$M806='112'!$I$6)),"x",""))</f>
        <v/>
      </c>
      <c r="U806" s="55" t="str">
        <f>IF(AND('3411-CT'!$F$9=H806,OR(LEFT(L806,3)=$U$7,LEFT(M806,3)=$U$7)),"x","")</f>
        <v/>
      </c>
      <c r="V806" s="55" t="str">
        <f>IF(OR(TH!L806=TH!$V$7,M806=TH!$V$7),"x","")</f>
        <v/>
      </c>
      <c r="W806" s="55" t="str">
        <f>IF(AND(OR(L806="131",M806="131"),H806='131-CT'!$E$7),"x","")</f>
        <v/>
      </c>
      <c r="X806" s="55" t="str">
        <f>IF(AND(B806&gt;='IN-NX'!$P$3,B806&lt;='IN-NX'!$Q$3,'IN-NX'!$D$7=D806,OR(LEFT(TH!L806,2)="15",LEFT(TH!M806,2)="15")),"x","")</f>
        <v/>
      </c>
      <c r="Y806" s="55" t="str">
        <f>IF(AND(OR(LEFT(TH!L806,2)="15",LEFT(TH!M806,2)="15"),'152-CT'!$J$8=TH!F806),"x","")</f>
        <v/>
      </c>
      <c r="Z806" s="55" t="str">
        <f>IF(AND(OR(LEFT(TH!L806,2)="15",LEFT(TH!M806,2)="15"),TK!$E$7=TH!F806),"x","")</f>
        <v/>
      </c>
      <c r="AA806" s="55" t="str">
        <f>IF(AND(B806&lt;=NKC!$N$8,B806&gt;=NKC!$M$8),"x","")</f>
        <v/>
      </c>
    </row>
    <row r="807" spans="1:29" s="689" customFormat="1" ht="15.75" customHeight="1">
      <c r="A807" s="219" t="str">
        <f>IF(B807&lt;&gt;"",IF(AND(B807&gt;=_TM1,B807&lt;=_TM2,OR(TH!L807="1111",TH!M807="1111")),TH!D807,""),"")</f>
        <v/>
      </c>
      <c r="B807" s="36">
        <f t="shared" si="35"/>
        <v>9</v>
      </c>
      <c r="C807" s="37">
        <v>41165</v>
      </c>
      <c r="D807" s="195" t="s">
        <v>404</v>
      </c>
      <c r="E807" s="195">
        <v>41165</v>
      </c>
      <c r="F807" s="203" t="s">
        <v>406</v>
      </c>
      <c r="G807" s="203" t="s">
        <v>401</v>
      </c>
      <c r="H807" s="207" t="s">
        <v>1145</v>
      </c>
      <c r="I807" s="277"/>
      <c r="J807" s="277"/>
      <c r="K807" s="698">
        <v>56071000</v>
      </c>
      <c r="L807" s="891" t="s">
        <v>24</v>
      </c>
      <c r="M807" s="891" t="s">
        <v>311</v>
      </c>
      <c r="N807" s="55" t="str">
        <f>IF(AND('331-CT'!$E$7=TH!H807,OR(L807="331",M807="331")),"x","")</f>
        <v/>
      </c>
      <c r="O807" s="55" t="str">
        <f>IF(AND($B807&gt;='111'!$N$11,$B807&lt;='111'!$O$11,OR($L807=$O$7,$M807=$O$7)),"x","")</f>
        <v/>
      </c>
      <c r="P807" s="55" t="str">
        <f>IF(AND($L807=$O$7,$B807&lt;'111'!$N$11),"x","")</f>
        <v/>
      </c>
      <c r="Q807" s="55" t="str">
        <f>IF(AND($M807=$O$7,$B807&lt;'111'!$N$11),"x","")</f>
        <v/>
      </c>
      <c r="R807" s="55" t="str">
        <f>IF(ISERROR(FIND('112'!$M$9,G807,1)),"",IF((AND(FIND('112'!$M$9,G807,1)&gt;=1,$B807&gt;='112'!$N$8,$B807&lt;='112'!$O$8,OR($L807='112'!$I$6,$M807='112'!$I$6))),"x",""))</f>
        <v>x</v>
      </c>
      <c r="S807" s="55" t="str">
        <f>IF(ISERROR(FIND('112'!$M$9,G807,1)),"",IF((AND(LEFT(G807,2)=LEFT('112'!$M$9,2),B807&lt;'112'!$N$8,$L807='112'!$I$6)),"x",""))</f>
        <v/>
      </c>
      <c r="T807" s="55" t="str">
        <f>IF(ISERROR(FIND('112'!$M$9,G807,1)),"",IF((AND(RIGHT(G807,2)=RIGHT('112'!$M$9,2),B807&lt;'112'!$N$8,$M807='112'!$I$6)),"x",""))</f>
        <v/>
      </c>
      <c r="U807" s="55" t="str">
        <f>IF(AND('3411-CT'!$F$9=H807,OR(LEFT(L807,3)=$U$7,LEFT(M807,3)=$U$7)),"x","")</f>
        <v/>
      </c>
      <c r="V807" s="55" t="str">
        <f>IF(OR(TH!L807=TH!$V$7,M807=TH!$V$7),"x","")</f>
        <v/>
      </c>
      <c r="W807" s="55" t="str">
        <f>IF(AND(OR(L807="131",M807="131"),H807='131-CT'!$E$7),"x","")</f>
        <v/>
      </c>
      <c r="X807" s="55" t="str">
        <f>IF(AND(B807&gt;='IN-NX'!$P$3,B807&lt;='IN-NX'!$Q$3,'IN-NX'!$D$7=D807,OR(LEFT(TH!L807,2)="15",LEFT(TH!M807,2)="15")),"x","")</f>
        <v/>
      </c>
      <c r="Y807" s="55" t="str">
        <f>IF(AND(OR(LEFT(TH!L807,2)="15",LEFT(TH!M807,2)="15"),'152-CT'!$J$8=TH!F807),"x","")</f>
        <v/>
      </c>
      <c r="Z807" s="55" t="str">
        <f>IF(AND(OR(LEFT(TH!L807,2)="15",LEFT(TH!M807,2)="15"),TK!$E$7=TH!F807),"x","")</f>
        <v/>
      </c>
      <c r="AA807" s="55" t="str">
        <f>IF(AND(B807&lt;=NKC!$N$8,B807&gt;=NKC!$M$8),"x","")</f>
        <v/>
      </c>
    </row>
    <row r="808" spans="1:29" s="689" customFormat="1" ht="15.75" customHeight="1">
      <c r="A808" s="219" t="str">
        <f>IF(B808&lt;&gt;"",IF(AND(B808&gt;=_TM1,B808&lt;=_TM2,OR(TH!L808="1111",TH!M808="1111")),TH!D808,""),"")</f>
        <v/>
      </c>
      <c r="B808" s="36">
        <f t="shared" si="35"/>
        <v>9</v>
      </c>
      <c r="C808" s="37">
        <v>41166</v>
      </c>
      <c r="D808" s="195" t="s">
        <v>405</v>
      </c>
      <c r="E808" s="195">
        <v>41166</v>
      </c>
      <c r="F808" s="203" t="s">
        <v>455</v>
      </c>
      <c r="G808" s="577" t="s">
        <v>401</v>
      </c>
      <c r="H808" s="207"/>
      <c r="I808" s="277"/>
      <c r="J808" s="277"/>
      <c r="K808" s="698">
        <v>40000000</v>
      </c>
      <c r="L808" s="891" t="s">
        <v>8</v>
      </c>
      <c r="M808" s="891" t="s">
        <v>24</v>
      </c>
      <c r="N808" s="55" t="str">
        <f>IF(AND('331-CT'!$E$7=TH!H808,OR(L808="331",M808="331")),"x","")</f>
        <v/>
      </c>
      <c r="O808" s="55" t="str">
        <f>IF(AND($B808&gt;='111'!$N$11,$B808&lt;='111'!$O$11,OR($L808=$O$7,$M808=$O$7)),"x","")</f>
        <v/>
      </c>
      <c r="P808" s="55" t="str">
        <f>IF(AND($L808=$O$7,$B808&lt;'111'!$N$11),"x","")</f>
        <v/>
      </c>
      <c r="Q808" s="55" t="str">
        <f>IF(AND($M808=$O$7,$B808&lt;'111'!$N$11),"x","")</f>
        <v/>
      </c>
      <c r="R808" s="55" t="str">
        <f>IF(ISERROR(FIND('112'!$M$9,G808,1)),"",IF((AND(FIND('112'!$M$9,G808,1)&gt;=1,$B808&gt;='112'!$N$8,$B808&lt;='112'!$O$8,OR($L808='112'!$I$6,$M808='112'!$I$6))),"x",""))</f>
        <v>x</v>
      </c>
      <c r="S808" s="55" t="str">
        <f>IF(ISERROR(FIND('112'!$M$9,G808,1)),"",IF((AND(LEFT(G808,2)=LEFT('112'!$M$9,2),B808&lt;'112'!$N$8,$L808='112'!$I$6)),"x",""))</f>
        <v/>
      </c>
      <c r="T808" s="55" t="str">
        <f>IF(ISERROR(FIND('112'!$M$9,G808,1)),"",IF((AND(RIGHT(G808,2)=RIGHT('112'!$M$9,2),B808&lt;'112'!$N$8,$M808='112'!$I$6)),"x",""))</f>
        <v/>
      </c>
      <c r="U808" s="55" t="str">
        <f>IF(AND('3411-CT'!$F$9=H808,OR(LEFT(L808,3)=$U$7,LEFT(M808,3)=$U$7)),"x","")</f>
        <v/>
      </c>
      <c r="V808" s="55" t="str">
        <f>IF(OR(TH!L808=TH!$V$7,M808=TH!$V$7),"x","")</f>
        <v/>
      </c>
      <c r="W808" s="55" t="str">
        <f>IF(AND(OR(L808="131",M808="131"),H808='131-CT'!$E$7),"x","")</f>
        <v/>
      </c>
      <c r="X808" s="55" t="str">
        <f>IF(AND(B808&gt;='IN-NX'!$P$3,B808&lt;='IN-NX'!$Q$3,'IN-NX'!$D$7=D808,OR(LEFT(TH!L808,2)="15",LEFT(TH!M808,2)="15")),"x","")</f>
        <v/>
      </c>
      <c r="Y808" s="55" t="str">
        <f>IF(AND(OR(LEFT(TH!L808,2)="15",LEFT(TH!M808,2)="15"),'152-CT'!$J$8=TH!F808),"x","")</f>
        <v/>
      </c>
      <c r="Z808" s="55" t="str">
        <f>IF(AND(OR(LEFT(TH!L808,2)="15",LEFT(TH!M808,2)="15"),TK!$E$7=TH!F808),"x","")</f>
        <v/>
      </c>
      <c r="AA808" s="55" t="str">
        <f>IF(AND(B808&lt;=NKC!$N$8,B808&gt;=NKC!$M$8),"x","")</f>
        <v/>
      </c>
    </row>
    <row r="809" spans="1:29" s="689" customFormat="1" ht="15.75" customHeight="1">
      <c r="A809" s="219" t="str">
        <f>IF(B809&lt;&gt;"",IF(AND(B809&gt;=_TM1,B809&lt;=_TM2,OR(TH!L809="1111",TH!M809="1111")),TH!D809,""),"")</f>
        <v/>
      </c>
      <c r="B809" s="36">
        <f t="shared" si="35"/>
        <v>9</v>
      </c>
      <c r="C809" s="37">
        <v>41166</v>
      </c>
      <c r="D809" s="195" t="s">
        <v>405</v>
      </c>
      <c r="E809" s="195">
        <v>41166</v>
      </c>
      <c r="F809" s="203" t="s">
        <v>407</v>
      </c>
      <c r="G809" s="203" t="s">
        <v>401</v>
      </c>
      <c r="H809" s="207"/>
      <c r="I809" s="277"/>
      <c r="J809" s="277"/>
      <c r="K809" s="698">
        <v>20000</v>
      </c>
      <c r="L809" s="699" t="s">
        <v>87</v>
      </c>
      <c r="M809" s="890" t="s">
        <v>24</v>
      </c>
      <c r="N809" s="55" t="str">
        <f>IF(AND('331-CT'!$E$7=TH!H809,OR(L809="331",M809="331")),"x","")</f>
        <v/>
      </c>
      <c r="O809" s="55" t="str">
        <f>IF(AND($B809&gt;='111'!$N$11,$B809&lt;='111'!$O$11,OR($L809=$O$7,$M809=$O$7)),"x","")</f>
        <v/>
      </c>
      <c r="P809" s="55" t="str">
        <f>IF(AND($L809=$O$7,$B809&lt;'111'!$N$11),"x","")</f>
        <v/>
      </c>
      <c r="Q809" s="55" t="str">
        <f>IF(AND($M809=$O$7,$B809&lt;'111'!$N$11),"x","")</f>
        <v/>
      </c>
      <c r="R809" s="55" t="str">
        <f>IF(ISERROR(FIND('112'!$M$9,G809,1)),"",IF((AND(FIND('112'!$M$9,G809,1)&gt;=1,$B809&gt;='112'!$N$8,$B809&lt;='112'!$O$8,OR($L809='112'!$I$6,$M809='112'!$I$6))),"x",""))</f>
        <v>x</v>
      </c>
      <c r="S809" s="55" t="str">
        <f>IF(ISERROR(FIND('112'!$M$9,G809,1)),"",IF((AND(LEFT(G809,2)=LEFT('112'!$M$9,2),B809&lt;'112'!$N$8,$L809='112'!$I$6)),"x",""))</f>
        <v/>
      </c>
      <c r="T809" s="55" t="str">
        <f>IF(ISERROR(FIND('112'!$M$9,G809,1)),"",IF((AND(RIGHT(G809,2)=RIGHT('112'!$M$9,2),B809&lt;'112'!$N$8,$M809='112'!$I$6)),"x",""))</f>
        <v/>
      </c>
      <c r="U809" s="55" t="str">
        <f>IF(AND('3411-CT'!$F$9=H809,OR(LEFT(L809,3)=$U$7,LEFT(M809,3)=$U$7)),"x","")</f>
        <v/>
      </c>
      <c r="V809" s="55" t="str">
        <f>IF(OR(TH!L809=TH!$V$7,M809=TH!$V$7),"x","")</f>
        <v/>
      </c>
      <c r="W809" s="55" t="str">
        <f>IF(AND(OR(L809="131",M809="131"),H809='131-CT'!$E$7),"x","")</f>
        <v/>
      </c>
      <c r="X809" s="55" t="str">
        <f>IF(AND(B809&gt;='IN-NX'!$P$3,B809&lt;='IN-NX'!$Q$3,'IN-NX'!$D$7=D809,OR(LEFT(TH!L809,2)="15",LEFT(TH!M809,2)="15")),"x","")</f>
        <v/>
      </c>
      <c r="Y809" s="55" t="str">
        <f>IF(AND(OR(LEFT(TH!L809,2)="15",LEFT(TH!M809,2)="15"),'152-CT'!$J$8=TH!F809),"x","")</f>
        <v/>
      </c>
      <c r="Z809" s="55" t="str">
        <f>IF(AND(OR(LEFT(TH!L809,2)="15",LEFT(TH!M809,2)="15"),TK!$E$7=TH!F809),"x","")</f>
        <v/>
      </c>
      <c r="AA809" s="55" t="str">
        <f>IF(AND(B809&lt;=NKC!$N$8,B809&gt;=NKC!$M$8),"x","")</f>
        <v/>
      </c>
    </row>
    <row r="810" spans="1:29" s="689" customFormat="1" ht="15.75" customHeight="1">
      <c r="A810" s="219" t="str">
        <f>IF(B810&lt;&gt;"",IF(AND(B810&gt;=_TM1,B810&lt;=_TM2,OR(TH!L810="1111",TH!M810="1111")),TH!D810,""),"")</f>
        <v/>
      </c>
      <c r="B810" s="36">
        <f t="shared" si="35"/>
        <v>9</v>
      </c>
      <c r="C810" s="37">
        <v>41166</v>
      </c>
      <c r="D810" s="195" t="s">
        <v>505</v>
      </c>
      <c r="E810" s="195">
        <v>41166</v>
      </c>
      <c r="F810" s="203" t="s">
        <v>606</v>
      </c>
      <c r="G810" s="577" t="s">
        <v>1060</v>
      </c>
      <c r="H810" s="207" t="s">
        <v>608</v>
      </c>
      <c r="I810" s="277"/>
      <c r="J810" s="277"/>
      <c r="K810" s="698">
        <v>406427</v>
      </c>
      <c r="L810" s="891" t="s">
        <v>87</v>
      </c>
      <c r="M810" s="891" t="s">
        <v>49</v>
      </c>
      <c r="N810" s="55" t="str">
        <f>IF(AND('331-CT'!$E$7=TH!H810,OR(L810="331",M810="331")),"x","")</f>
        <v/>
      </c>
      <c r="O810" s="55" t="str">
        <f>IF(AND($B810&gt;='111'!$N$11,$B810&lt;='111'!$O$11,OR($L810=$O$7,$M810=$O$7)),"x","")</f>
        <v/>
      </c>
      <c r="P810" s="55" t="str">
        <f>IF(AND($L810=$O$7,$B810&lt;'111'!$N$11),"x","")</f>
        <v/>
      </c>
      <c r="Q810" s="55" t="str">
        <f>IF(AND($M810=$O$7,$B810&lt;'111'!$N$11),"x","")</f>
        <v>x</v>
      </c>
      <c r="R810" s="55" t="str">
        <f>IF(ISERROR(FIND('112'!$M$9,G810,1)),"",IF((AND(FIND('112'!$M$9,G810,1)&gt;=1,$B810&gt;='112'!$N$8,$B810&lt;='112'!$O$8,OR($L810='112'!$I$6,$M810='112'!$I$6))),"x",""))</f>
        <v/>
      </c>
      <c r="S810" s="55" t="str">
        <f>IF(ISERROR(FIND('112'!$M$9,G810,1)),"",IF((AND(LEFT(G810,2)=LEFT('112'!$M$9,2),B810&lt;'112'!$N$8,$L810='112'!$I$6)),"x",""))</f>
        <v/>
      </c>
      <c r="T810" s="55" t="str">
        <f>IF(ISERROR(FIND('112'!$M$9,G810,1)),"",IF((AND(RIGHT(G810,2)=RIGHT('112'!$M$9,2),B810&lt;'112'!$N$8,$M810='112'!$I$6)),"x",""))</f>
        <v/>
      </c>
      <c r="U810" s="55" t="str">
        <f>IF(AND('3411-CT'!$F$9=H810,OR(LEFT(L810,3)=$U$7,LEFT(M810,3)=$U$7)),"x","")</f>
        <v/>
      </c>
      <c r="V810" s="55" t="str">
        <f>IF(OR(TH!L810=TH!$V$7,M810=TH!$V$7),"x","")</f>
        <v/>
      </c>
      <c r="W810" s="55" t="str">
        <f>IF(AND(OR(L810="131",M810="131"),H810='131-CT'!$E$7),"x","")</f>
        <v/>
      </c>
      <c r="X810" s="55" t="str">
        <f>IF(AND(B810&gt;='IN-NX'!$P$3,B810&lt;='IN-NX'!$Q$3,'IN-NX'!$D$7=D810,OR(LEFT(TH!L810,2)="15",LEFT(TH!M810,2)="15")),"x","")</f>
        <v/>
      </c>
      <c r="Y810" s="55" t="str">
        <f>IF(AND(OR(LEFT(TH!L810,2)="15",LEFT(TH!M810,2)="15"),'152-CT'!$J$8=TH!F810),"x","")</f>
        <v/>
      </c>
      <c r="Z810" s="55" t="str">
        <f>IF(AND(OR(LEFT(TH!L810,2)="15",LEFT(TH!M810,2)="15"),TK!$E$7=TH!F810),"x","")</f>
        <v/>
      </c>
      <c r="AA810" s="55" t="str">
        <f>IF(AND(B810&lt;=NKC!$N$8,B810&gt;=NKC!$M$8),"x","")</f>
        <v/>
      </c>
    </row>
    <row r="811" spans="1:29" s="689" customFormat="1" ht="15.75" customHeight="1">
      <c r="A811" s="219" t="str">
        <f>IF(B811&lt;&gt;"",IF(AND(B811&gt;=_TM1,B811&lt;=_TM2,OR(TH!L811="1111",TH!M811="1111")),TH!D811,""),"")</f>
        <v/>
      </c>
      <c r="B811" s="36">
        <f t="shared" si="35"/>
        <v>9</v>
      </c>
      <c r="C811" s="37">
        <v>41166</v>
      </c>
      <c r="D811" s="195" t="s">
        <v>505</v>
      </c>
      <c r="E811" s="195">
        <v>41166</v>
      </c>
      <c r="F811" s="203" t="s">
        <v>609</v>
      </c>
      <c r="G811" s="203" t="s">
        <v>1060</v>
      </c>
      <c r="H811" s="207" t="s">
        <v>608</v>
      </c>
      <c r="I811" s="277"/>
      <c r="J811" s="277"/>
      <c r="K811" s="698">
        <v>40643</v>
      </c>
      <c r="L811" s="891" t="s">
        <v>9</v>
      </c>
      <c r="M811" s="891" t="s">
        <v>49</v>
      </c>
      <c r="N811" s="55" t="str">
        <f>IF(AND('331-CT'!$E$7=TH!H811,OR(L811="331",M811="331")),"x","")</f>
        <v/>
      </c>
      <c r="O811" s="55" t="str">
        <f>IF(AND($B811&gt;='111'!$N$11,$B811&lt;='111'!$O$11,OR($L811=$O$7,$M811=$O$7)),"x","")</f>
        <v/>
      </c>
      <c r="P811" s="55" t="str">
        <f>IF(AND($L811=$O$7,$B811&lt;'111'!$N$11),"x","")</f>
        <v/>
      </c>
      <c r="Q811" s="55" t="str">
        <f>IF(AND($M811=$O$7,$B811&lt;'111'!$N$11),"x","")</f>
        <v>x</v>
      </c>
      <c r="R811" s="55" t="str">
        <f>IF(ISERROR(FIND('112'!$M$9,G811,1)),"",IF((AND(FIND('112'!$M$9,G811,1)&gt;=1,$B811&gt;='112'!$N$8,$B811&lt;='112'!$O$8,OR($L811='112'!$I$6,$M811='112'!$I$6))),"x",""))</f>
        <v/>
      </c>
      <c r="S811" s="55" t="str">
        <f>IF(ISERROR(FIND('112'!$M$9,G811,1)),"",IF((AND(LEFT(G811,2)=LEFT('112'!$M$9,2),B811&lt;'112'!$N$8,$L811='112'!$I$6)),"x",""))</f>
        <v/>
      </c>
      <c r="T811" s="55" t="str">
        <f>IF(ISERROR(FIND('112'!$M$9,G811,1)),"",IF((AND(RIGHT(G811,2)=RIGHT('112'!$M$9,2),B811&lt;'112'!$N$8,$M811='112'!$I$6)),"x",""))</f>
        <v/>
      </c>
      <c r="U811" s="55" t="str">
        <f>IF(AND('3411-CT'!$F$9=H811,OR(LEFT(L811,3)=$U$7,LEFT(M811,3)=$U$7)),"x","")</f>
        <v/>
      </c>
      <c r="V811" s="55" t="str">
        <f>IF(OR(TH!L811=TH!$V$7,M811=TH!$V$7),"x","")</f>
        <v/>
      </c>
      <c r="W811" s="55" t="str">
        <f>IF(AND(OR(L811="131",M811="131"),H811='131-CT'!$E$7),"x","")</f>
        <v/>
      </c>
      <c r="X811" s="55" t="str">
        <f>IF(AND(B811&gt;='IN-NX'!$P$3,B811&lt;='IN-NX'!$Q$3,'IN-NX'!$D$7=D811,OR(LEFT(TH!L811,2)="15",LEFT(TH!M811,2)="15")),"x","")</f>
        <v/>
      </c>
      <c r="Y811" s="55" t="str">
        <f>IF(AND(OR(LEFT(TH!L811,2)="15",LEFT(TH!M811,2)="15"),'152-CT'!$J$8=TH!F811),"x","")</f>
        <v/>
      </c>
      <c r="Z811" s="55" t="str">
        <f>IF(AND(OR(LEFT(TH!L811,2)="15",LEFT(TH!M811,2)="15"),TK!$E$7=TH!F811),"x","")</f>
        <v/>
      </c>
      <c r="AA811" s="55" t="str">
        <f>IF(AND(B811&lt;=NKC!$N$8,B811&gt;=NKC!$M$8),"x","")</f>
        <v/>
      </c>
    </row>
    <row r="812" spans="1:29" s="689" customFormat="1" ht="15.75" customHeight="1">
      <c r="A812" s="219" t="str">
        <f>IF(B812&lt;&gt;"",IF(AND(B812&gt;=_TM1,B812&lt;=_TM2,OR(TH!L812="1111",TH!M812="1111")),TH!D812,""),"")</f>
        <v/>
      </c>
      <c r="B812" s="36">
        <f t="shared" si="35"/>
        <v>9</v>
      </c>
      <c r="C812" s="37">
        <v>41166</v>
      </c>
      <c r="D812" s="195" t="s">
        <v>506</v>
      </c>
      <c r="E812" s="195">
        <v>41166</v>
      </c>
      <c r="F812" s="203" t="s">
        <v>1061</v>
      </c>
      <c r="G812" s="577" t="s">
        <v>1062</v>
      </c>
      <c r="H812" s="207" t="s">
        <v>456</v>
      </c>
      <c r="I812" s="277"/>
      <c r="J812" s="277"/>
      <c r="K812" s="698">
        <v>5240000</v>
      </c>
      <c r="L812" s="891" t="s">
        <v>194</v>
      </c>
      <c r="M812" s="891" t="s">
        <v>49</v>
      </c>
      <c r="N812" s="55" t="str">
        <f>IF(AND('331-CT'!$E$7=TH!H812,OR(L812="331",M812="331")),"x","")</f>
        <v/>
      </c>
      <c r="O812" s="55" t="str">
        <f>IF(AND($B812&gt;='111'!$N$11,$B812&lt;='111'!$O$11,OR($L812=$O$7,$M812=$O$7)),"x","")</f>
        <v/>
      </c>
      <c r="P812" s="55" t="str">
        <f>IF(AND($L812=$O$7,$B812&lt;'111'!$N$11),"x","")</f>
        <v/>
      </c>
      <c r="Q812" s="55" t="str">
        <f>IF(AND($M812=$O$7,$B812&lt;'111'!$N$11),"x","")</f>
        <v>x</v>
      </c>
      <c r="R812" s="55" t="str">
        <f>IF(ISERROR(FIND('112'!$M$9,G812,1)),"",IF((AND(FIND('112'!$M$9,G812,1)&gt;=1,$B812&gt;='112'!$N$8,$B812&lt;='112'!$O$8,OR($L812='112'!$I$6,$M812='112'!$I$6))),"x",""))</f>
        <v/>
      </c>
      <c r="S812" s="55" t="str">
        <f>IF(ISERROR(FIND('112'!$M$9,G812,1)),"",IF((AND(LEFT(G812,2)=LEFT('112'!$M$9,2),B812&lt;'112'!$N$8,$L812='112'!$I$6)),"x",""))</f>
        <v/>
      </c>
      <c r="T812" s="55" t="str">
        <f>IF(ISERROR(FIND('112'!$M$9,G812,1)),"",IF((AND(RIGHT(G812,2)=RIGHT('112'!$M$9,2),B812&lt;'112'!$N$8,$M812='112'!$I$6)),"x",""))</f>
        <v/>
      </c>
      <c r="U812" s="55" t="str">
        <f>IF(AND('3411-CT'!$F$9=H812,OR(LEFT(L812,3)=$U$7,LEFT(M812,3)=$U$7)),"x","")</f>
        <v/>
      </c>
      <c r="V812" s="55" t="str">
        <f>IF(OR(TH!L812=TH!$V$7,M812=TH!$V$7),"x","")</f>
        <v/>
      </c>
      <c r="W812" s="55" t="str">
        <f>IF(AND(OR(L812="131",M812="131"),H812='131-CT'!$E$7),"x","")</f>
        <v/>
      </c>
      <c r="X812" s="55" t="str">
        <f>IF(AND(B812&gt;='IN-NX'!$P$3,B812&lt;='IN-NX'!$Q$3,'IN-NX'!$D$7=D812,OR(LEFT(TH!L812,2)="15",LEFT(TH!M812,2)="15")),"x","")</f>
        <v/>
      </c>
      <c r="Y812" s="55" t="str">
        <f>IF(AND(OR(LEFT(TH!L812,2)="15",LEFT(TH!M812,2)="15"),'152-CT'!$J$8=TH!F812),"x","")</f>
        <v/>
      </c>
      <c r="Z812" s="55" t="str">
        <f>IF(AND(OR(LEFT(TH!L812,2)="15",LEFT(TH!M812,2)="15"),TK!$E$7=TH!F812),"x","")</f>
        <v/>
      </c>
      <c r="AA812" s="55" t="str">
        <f>IF(AND(B812&lt;=NKC!$N$8,B812&gt;=NKC!$M$8),"x","")</f>
        <v/>
      </c>
    </row>
    <row r="813" spans="1:29" s="689" customFormat="1" ht="15.75" customHeight="1">
      <c r="A813" s="219" t="str">
        <f>IF(B813&lt;&gt;"",IF(AND(B813&gt;=_TM1,B813&lt;=_TM2,OR(TH!L813="1111",TH!M813="1111")),TH!D813,""),"")</f>
        <v/>
      </c>
      <c r="B813" s="36">
        <f t="shared" si="35"/>
        <v>9</v>
      </c>
      <c r="C813" s="37">
        <v>41166</v>
      </c>
      <c r="D813" s="195" t="s">
        <v>506</v>
      </c>
      <c r="E813" s="195">
        <v>41166</v>
      </c>
      <c r="F813" s="203" t="s">
        <v>413</v>
      </c>
      <c r="G813" s="203" t="s">
        <v>1062</v>
      </c>
      <c r="H813" s="207" t="s">
        <v>456</v>
      </c>
      <c r="I813" s="277"/>
      <c r="J813" s="277"/>
      <c r="K813" s="698">
        <v>524000</v>
      </c>
      <c r="L813" s="891" t="s">
        <v>9</v>
      </c>
      <c r="M813" s="891" t="s">
        <v>49</v>
      </c>
      <c r="N813" s="55" t="str">
        <f>IF(AND('331-CT'!$E$7=TH!H813,OR(L813="331",M813="331")),"x","")</f>
        <v/>
      </c>
      <c r="O813" s="55" t="str">
        <f>IF(AND($B813&gt;='111'!$N$11,$B813&lt;='111'!$O$11,OR($L813=$O$7,$M813=$O$7)),"x","")</f>
        <v/>
      </c>
      <c r="P813" s="55" t="str">
        <f>IF(AND($L813=$O$7,$B813&lt;'111'!$N$11),"x","")</f>
        <v/>
      </c>
      <c r="Q813" s="55" t="str">
        <f>IF(AND($M813=$O$7,$B813&lt;'111'!$N$11),"x","")</f>
        <v>x</v>
      </c>
      <c r="R813" s="55" t="str">
        <f>IF(ISERROR(FIND('112'!$M$9,G813,1)),"",IF((AND(FIND('112'!$M$9,G813,1)&gt;=1,$B813&gt;='112'!$N$8,$B813&lt;='112'!$O$8,OR($L813='112'!$I$6,$M813='112'!$I$6))),"x",""))</f>
        <v/>
      </c>
      <c r="S813" s="55" t="str">
        <f>IF(ISERROR(FIND('112'!$M$9,G813,1)),"",IF((AND(LEFT(G813,2)=LEFT('112'!$M$9,2),B813&lt;'112'!$N$8,$L813='112'!$I$6)),"x",""))</f>
        <v/>
      </c>
      <c r="T813" s="55" t="str">
        <f>IF(ISERROR(FIND('112'!$M$9,G813,1)),"",IF((AND(RIGHT(G813,2)=RIGHT('112'!$M$9,2),B813&lt;'112'!$N$8,$M813='112'!$I$6)),"x",""))</f>
        <v/>
      </c>
      <c r="U813" s="55" t="str">
        <f>IF(AND('3411-CT'!$F$9=H813,OR(LEFT(L813,3)=$U$7,LEFT(M813,3)=$U$7)),"x","")</f>
        <v/>
      </c>
      <c r="V813" s="55" t="str">
        <f>IF(OR(TH!L813=TH!$V$7,M813=TH!$V$7),"x","")</f>
        <v/>
      </c>
      <c r="W813" s="55" t="str">
        <f>IF(AND(OR(L813="131",M813="131"),H813='131-CT'!$E$7),"x","")</f>
        <v/>
      </c>
      <c r="X813" s="55" t="str">
        <f>IF(AND(B813&gt;='IN-NX'!$P$3,B813&lt;='IN-NX'!$Q$3,'IN-NX'!$D$7=D813,OR(LEFT(TH!L813,2)="15",LEFT(TH!M813,2)="15")),"x","")</f>
        <v/>
      </c>
      <c r="Y813" s="55" t="str">
        <f>IF(AND(OR(LEFT(TH!L813,2)="15",LEFT(TH!M813,2)="15"),'152-CT'!$J$8=TH!F813),"x","")</f>
        <v/>
      </c>
      <c r="Z813" s="55" t="str">
        <f>IF(AND(OR(LEFT(TH!L813,2)="15",LEFT(TH!M813,2)="15"),TK!$E$7=TH!F813),"x","")</f>
        <v/>
      </c>
      <c r="AA813" s="55" t="str">
        <f>IF(AND(B813&lt;=NKC!$N$8,B813&gt;=NKC!$M$8),"x","")</f>
        <v/>
      </c>
    </row>
    <row r="814" spans="1:29" s="689" customFormat="1" ht="15.75" customHeight="1">
      <c r="A814" s="219" t="str">
        <f>IF(B814&lt;&gt;"",IF(AND(B814&gt;=_TM1,B814&lt;=_TM2,OR(TH!L814="1111",TH!M814="1111")),TH!D814,""),"")</f>
        <v/>
      </c>
      <c r="B814" s="36">
        <f t="shared" si="35"/>
        <v>9</v>
      </c>
      <c r="C814" s="37">
        <v>41169</v>
      </c>
      <c r="D814" s="195" t="s">
        <v>404</v>
      </c>
      <c r="E814" s="195">
        <v>41169</v>
      </c>
      <c r="F814" s="203" t="s">
        <v>406</v>
      </c>
      <c r="G814" s="577" t="s">
        <v>401</v>
      </c>
      <c r="H814" s="45" t="s">
        <v>1141</v>
      </c>
      <c r="I814" s="277"/>
      <c r="J814" s="277"/>
      <c r="K814" s="698">
        <v>21260030</v>
      </c>
      <c r="L814" s="891" t="s">
        <v>24</v>
      </c>
      <c r="M814" s="891" t="s">
        <v>311</v>
      </c>
      <c r="N814" s="55" t="str">
        <f>IF(AND('331-CT'!$E$7=TH!H814,OR(L814="331",M814="331")),"x","")</f>
        <v/>
      </c>
      <c r="O814" s="55" t="str">
        <f>IF(AND($B814&gt;='111'!$N$11,$B814&lt;='111'!$O$11,OR($L814=$O$7,$M814=$O$7)),"x","")</f>
        <v/>
      </c>
      <c r="P814" s="55" t="str">
        <f>IF(AND($L814=$O$7,$B814&lt;'111'!$N$11),"x","")</f>
        <v/>
      </c>
      <c r="Q814" s="55" t="str">
        <f>IF(AND($M814=$O$7,$B814&lt;'111'!$N$11),"x","")</f>
        <v/>
      </c>
      <c r="R814" s="55" t="str">
        <f>IF(ISERROR(FIND('112'!$M$9,G814,1)),"",IF((AND(FIND('112'!$M$9,G814,1)&gt;=1,$B814&gt;='112'!$N$8,$B814&lt;='112'!$O$8,OR($L814='112'!$I$6,$M814='112'!$I$6))),"x",""))</f>
        <v>x</v>
      </c>
      <c r="S814" s="55" t="str">
        <f>IF(ISERROR(FIND('112'!$M$9,G814,1)),"",IF((AND(LEFT(G814,2)=LEFT('112'!$M$9,2),B814&lt;'112'!$N$8,$L814='112'!$I$6)),"x",""))</f>
        <v/>
      </c>
      <c r="T814" s="55" t="str">
        <f>IF(ISERROR(FIND('112'!$M$9,G814,1)),"",IF((AND(RIGHT(G814,2)=RIGHT('112'!$M$9,2),B814&lt;'112'!$N$8,$M814='112'!$I$6)),"x",""))</f>
        <v/>
      </c>
      <c r="U814" s="55" t="str">
        <f>IF(AND('3411-CT'!$F$9=H814,OR(LEFT(L814,3)=$U$7,LEFT(M814,3)=$U$7)),"x","")</f>
        <v/>
      </c>
      <c r="V814" s="55" t="str">
        <f>IF(OR(TH!L814=TH!$V$7,M814=TH!$V$7),"x","")</f>
        <v/>
      </c>
      <c r="W814" s="55" t="str">
        <f>IF(AND(OR(L814="131",M814="131"),H814='131-CT'!$E$7),"x","")</f>
        <v/>
      </c>
      <c r="X814" s="55" t="str">
        <f>IF(AND(B814&gt;='IN-NX'!$P$3,B814&lt;='IN-NX'!$Q$3,'IN-NX'!$D$7=D814,OR(LEFT(TH!L814,2)="15",LEFT(TH!M814,2)="15")),"x","")</f>
        <v/>
      </c>
      <c r="Y814" s="55" t="str">
        <f>IF(AND(OR(LEFT(TH!L814,2)="15",LEFT(TH!M814,2)="15"),'152-CT'!$J$8=TH!F814),"x","")</f>
        <v/>
      </c>
      <c r="Z814" s="55" t="str">
        <f>IF(AND(OR(LEFT(TH!L814,2)="15",LEFT(TH!M814,2)="15"),TK!$E$7=TH!F814),"x","")</f>
        <v/>
      </c>
      <c r="AA814" s="55" t="str">
        <f>IF(AND(B814&lt;=NKC!$N$8,B814&gt;=NKC!$M$8),"x","")</f>
        <v/>
      </c>
    </row>
    <row r="815" spans="1:29" s="689" customFormat="1" ht="15.75" customHeight="1">
      <c r="A815" s="219" t="str">
        <f>IF(B815&lt;&gt;"",IF(AND(B815&gt;=_TM1,B815&lt;=_TM2,OR(TH!L815="1111",TH!M815="1111")),TH!D815,""),"")</f>
        <v/>
      </c>
      <c r="B815" s="36">
        <f t="shared" si="35"/>
        <v>9</v>
      </c>
      <c r="C815" s="37">
        <v>41170</v>
      </c>
      <c r="D815" s="195" t="s">
        <v>507</v>
      </c>
      <c r="E815" s="195">
        <v>41170</v>
      </c>
      <c r="F815" s="203" t="s">
        <v>451</v>
      </c>
      <c r="G815" s="203" t="s">
        <v>401</v>
      </c>
      <c r="H815" s="207" t="s">
        <v>706</v>
      </c>
      <c r="I815" s="277"/>
      <c r="J815" s="277"/>
      <c r="K815" s="698">
        <v>20000000</v>
      </c>
      <c r="L815" s="891" t="s">
        <v>24</v>
      </c>
      <c r="M815" s="891" t="s">
        <v>49</v>
      </c>
      <c r="N815" s="55" t="str">
        <f>IF(AND('331-CT'!$E$7=TH!H815,OR(L815="331",M815="331")),"x","")</f>
        <v/>
      </c>
      <c r="O815" s="55" t="str">
        <f>IF(AND($B815&gt;='111'!$N$11,$B815&lt;='111'!$O$11,OR($L815=$O$7,$M815=$O$7)),"x","")</f>
        <v/>
      </c>
      <c r="P815" s="55" t="str">
        <f>IF(AND($L815=$O$7,$B815&lt;'111'!$N$11),"x","")</f>
        <v/>
      </c>
      <c r="Q815" s="55" t="str">
        <f>IF(AND($M815=$O$7,$B815&lt;'111'!$N$11),"x","")</f>
        <v>x</v>
      </c>
      <c r="R815" s="55" t="str">
        <f>IF(ISERROR(FIND('112'!$M$9,G815,1)),"",IF((AND(FIND('112'!$M$9,G815,1)&gt;=1,$B815&gt;='112'!$N$8,$B815&lt;='112'!$O$8,OR($L815='112'!$I$6,$M815='112'!$I$6))),"x",""))</f>
        <v>x</v>
      </c>
      <c r="S815" s="55" t="str">
        <f>IF(ISERROR(FIND('112'!$M$9,G815,1)),"",IF((AND(LEFT(G815,2)=LEFT('112'!$M$9,2),B815&lt;'112'!$N$8,$L815='112'!$I$6)),"x",""))</f>
        <v/>
      </c>
      <c r="T815" s="55" t="str">
        <f>IF(ISERROR(FIND('112'!$M$9,G815,1)),"",IF((AND(RIGHT(G815,2)=RIGHT('112'!$M$9,2),B815&lt;'112'!$N$8,$M815='112'!$I$6)),"x",""))</f>
        <v/>
      </c>
      <c r="U815" s="55" t="str">
        <f>IF(AND('3411-CT'!$F$9=H815,OR(LEFT(L815,3)=$U$7,LEFT(M815,3)=$U$7)),"x","")</f>
        <v/>
      </c>
      <c r="V815" s="55" t="str">
        <f>IF(OR(TH!L815=TH!$V$7,M815=TH!$V$7),"x","")</f>
        <v/>
      </c>
      <c r="W815" s="55" t="str">
        <f>IF(AND(OR(L815="131",M815="131"),H815='131-CT'!$E$7),"x","")</f>
        <v/>
      </c>
      <c r="X815" s="55" t="str">
        <f>IF(AND(B815&gt;='IN-NX'!$P$3,B815&lt;='IN-NX'!$Q$3,'IN-NX'!$D$7=D815,OR(LEFT(TH!L815,2)="15",LEFT(TH!M815,2)="15")),"x","")</f>
        <v/>
      </c>
      <c r="Y815" s="55" t="str">
        <f>IF(AND(OR(LEFT(TH!L815,2)="15",LEFT(TH!M815,2)="15"),'152-CT'!$J$8=TH!F815),"x","")</f>
        <v/>
      </c>
      <c r="Z815" s="55" t="str">
        <f>IF(AND(OR(LEFT(TH!L815,2)="15",LEFT(TH!M815,2)="15"),TK!$E$7=TH!F815),"x","")</f>
        <v/>
      </c>
      <c r="AA815" s="55" t="str">
        <f>IF(AND(B815&lt;=NKC!$N$8,B815&gt;=NKC!$M$8),"x","")</f>
        <v/>
      </c>
    </row>
    <row r="816" spans="1:29" s="689" customFormat="1" ht="15.75" customHeight="1">
      <c r="A816" s="219" t="str">
        <f>IF(B816&lt;&gt;"",IF(AND(B816&gt;=_TM1,B816&lt;=_TM2,OR(TH!L816="1111",TH!M816="1111")),TH!D816,""),"")</f>
        <v/>
      </c>
      <c r="B816" s="36">
        <f t="shared" si="35"/>
        <v>9</v>
      </c>
      <c r="C816" s="37">
        <v>41170</v>
      </c>
      <c r="D816" s="195" t="s">
        <v>405</v>
      </c>
      <c r="E816" s="195">
        <v>41170</v>
      </c>
      <c r="F816" s="203" t="s">
        <v>455</v>
      </c>
      <c r="G816" s="577" t="s">
        <v>401</v>
      </c>
      <c r="H816" s="207"/>
      <c r="I816" s="277"/>
      <c r="J816" s="277"/>
      <c r="K816" s="698">
        <v>30000000</v>
      </c>
      <c r="L816" s="891" t="s">
        <v>8</v>
      </c>
      <c r="M816" s="891" t="s">
        <v>24</v>
      </c>
      <c r="N816" s="55" t="str">
        <f>IF(AND('331-CT'!$E$7=TH!H816,OR(L816="331",M816="331")),"x","")</f>
        <v/>
      </c>
      <c r="O816" s="55" t="str">
        <f>IF(AND($B816&gt;='111'!$N$11,$B816&lt;='111'!$O$11,OR($L816=$O$7,$M816=$O$7)),"x","")</f>
        <v/>
      </c>
      <c r="P816" s="55" t="str">
        <f>IF(AND($L816=$O$7,$B816&lt;'111'!$N$11),"x","")</f>
        <v/>
      </c>
      <c r="Q816" s="55" t="str">
        <f>IF(AND($M816=$O$7,$B816&lt;'111'!$N$11),"x","")</f>
        <v/>
      </c>
      <c r="R816" s="55" t="str">
        <f>IF(ISERROR(FIND('112'!$M$9,G816,1)),"",IF((AND(FIND('112'!$M$9,G816,1)&gt;=1,$B816&gt;='112'!$N$8,$B816&lt;='112'!$O$8,OR($L816='112'!$I$6,$M816='112'!$I$6))),"x",""))</f>
        <v>x</v>
      </c>
      <c r="S816" s="55" t="str">
        <f>IF(ISERROR(FIND('112'!$M$9,G816,1)),"",IF((AND(LEFT(G816,2)=LEFT('112'!$M$9,2),B816&lt;'112'!$N$8,$L816='112'!$I$6)),"x",""))</f>
        <v/>
      </c>
      <c r="T816" s="55" t="str">
        <f>IF(ISERROR(FIND('112'!$M$9,G816,1)),"",IF((AND(RIGHT(G816,2)=RIGHT('112'!$M$9,2),B816&lt;'112'!$N$8,$M816='112'!$I$6)),"x",""))</f>
        <v/>
      </c>
      <c r="U816" s="55" t="str">
        <f>IF(AND('3411-CT'!$F$9=H816,OR(LEFT(L816,3)=$U$7,LEFT(M816,3)=$U$7)),"x","")</f>
        <v/>
      </c>
      <c r="V816" s="55" t="str">
        <f>IF(OR(TH!L816=TH!$V$7,M816=TH!$V$7),"x","")</f>
        <v/>
      </c>
      <c r="W816" s="55" t="str">
        <f>IF(AND(OR(L816="131",M816="131"),H816='131-CT'!$E$7),"x","")</f>
        <v/>
      </c>
      <c r="X816" s="55" t="str">
        <f>IF(AND(B816&gt;='IN-NX'!$P$3,B816&lt;='IN-NX'!$Q$3,'IN-NX'!$D$7=D816,OR(LEFT(TH!L816,2)="15",LEFT(TH!M816,2)="15")),"x","")</f>
        <v/>
      </c>
      <c r="Y816" s="55" t="str">
        <f>IF(AND(OR(LEFT(TH!L816,2)="15",LEFT(TH!M816,2)="15"),'152-CT'!$J$8=TH!F816),"x","")</f>
        <v/>
      </c>
      <c r="Z816" s="55" t="str">
        <f>IF(AND(OR(LEFT(TH!L816,2)="15",LEFT(TH!M816,2)="15"),TK!$E$7=TH!F816),"x","")</f>
        <v/>
      </c>
      <c r="AA816" s="55" t="str">
        <f>IF(AND(B816&lt;=NKC!$N$8,B816&gt;=NKC!$M$8),"x","")</f>
        <v/>
      </c>
    </row>
    <row r="817" spans="1:29" s="689" customFormat="1" ht="15.75" customHeight="1">
      <c r="A817" s="219" t="str">
        <f>IF(B817&lt;&gt;"",IF(AND(B817&gt;=_TM1,B817&lt;=_TM2,OR(TH!L817="1111",TH!M817="1111")),TH!D817,""),"")</f>
        <v/>
      </c>
      <c r="B817" s="36">
        <f t="shared" si="35"/>
        <v>9</v>
      </c>
      <c r="C817" s="37">
        <v>41170</v>
      </c>
      <c r="D817" s="195" t="s">
        <v>405</v>
      </c>
      <c r="E817" s="195">
        <v>41170</v>
      </c>
      <c r="F817" s="203" t="s">
        <v>407</v>
      </c>
      <c r="G817" s="203" t="s">
        <v>401</v>
      </c>
      <c r="H817" s="207"/>
      <c r="I817" s="277"/>
      <c r="J817" s="277"/>
      <c r="K817" s="698">
        <v>20000</v>
      </c>
      <c r="L817" s="891" t="s">
        <v>87</v>
      </c>
      <c r="M817" s="891" t="s">
        <v>24</v>
      </c>
      <c r="N817" s="55" t="str">
        <f>IF(AND('331-CT'!$E$7=TH!H817,OR(L817="331",M817="331")),"x","")</f>
        <v/>
      </c>
      <c r="O817" s="55" t="str">
        <f>IF(AND($B817&gt;='111'!$N$11,$B817&lt;='111'!$O$11,OR($L817=$O$7,$M817=$O$7)),"x","")</f>
        <v/>
      </c>
      <c r="P817" s="55" t="str">
        <f>IF(AND($L817=$O$7,$B817&lt;'111'!$N$11),"x","")</f>
        <v/>
      </c>
      <c r="Q817" s="55" t="str">
        <f>IF(AND($M817=$O$7,$B817&lt;'111'!$N$11),"x","")</f>
        <v/>
      </c>
      <c r="R817" s="55" t="str">
        <f>IF(ISERROR(FIND('112'!$M$9,G817,1)),"",IF((AND(FIND('112'!$M$9,G817,1)&gt;=1,$B817&gt;='112'!$N$8,$B817&lt;='112'!$O$8,OR($L817='112'!$I$6,$M817='112'!$I$6))),"x",""))</f>
        <v>x</v>
      </c>
      <c r="S817" s="55" t="str">
        <f>IF(ISERROR(FIND('112'!$M$9,G817,1)),"",IF((AND(LEFT(G817,2)=LEFT('112'!$M$9,2),B817&lt;'112'!$N$8,$L817='112'!$I$6)),"x",""))</f>
        <v/>
      </c>
      <c r="T817" s="55" t="str">
        <f>IF(ISERROR(FIND('112'!$M$9,G817,1)),"",IF((AND(RIGHT(G817,2)=RIGHT('112'!$M$9,2),B817&lt;'112'!$N$8,$M817='112'!$I$6)),"x",""))</f>
        <v/>
      </c>
      <c r="U817" s="55" t="str">
        <f>IF(AND('3411-CT'!$F$9=H817,OR(LEFT(L817,3)=$U$7,LEFT(M817,3)=$U$7)),"x","")</f>
        <v/>
      </c>
      <c r="V817" s="55" t="str">
        <f>IF(OR(TH!L817=TH!$V$7,M817=TH!$V$7),"x","")</f>
        <v/>
      </c>
      <c r="W817" s="55" t="str">
        <f>IF(AND(OR(L817="131",M817="131"),H817='131-CT'!$E$7),"x","")</f>
        <v/>
      </c>
      <c r="X817" s="55" t="str">
        <f>IF(AND(B817&gt;='IN-NX'!$P$3,B817&lt;='IN-NX'!$Q$3,'IN-NX'!$D$7=D817,OR(LEFT(TH!L817,2)="15",LEFT(TH!M817,2)="15")),"x","")</f>
        <v/>
      </c>
      <c r="Y817" s="55" t="str">
        <f>IF(AND(OR(LEFT(TH!L817,2)="15",LEFT(TH!M817,2)="15"),'152-CT'!$J$8=TH!F817),"x","")</f>
        <v/>
      </c>
      <c r="Z817" s="55" t="str">
        <f>IF(AND(OR(LEFT(TH!L817,2)="15",LEFT(TH!M817,2)="15"),TK!$E$7=TH!F817),"x","")</f>
        <v/>
      </c>
      <c r="AA817" s="55" t="str">
        <f>IF(AND(B817&lt;=NKC!$N$8,B817&gt;=NKC!$M$8),"x","")</f>
        <v/>
      </c>
    </row>
    <row r="818" spans="1:29" s="689" customFormat="1" ht="15.75" customHeight="1">
      <c r="A818" s="219" t="str">
        <f>IF(B818&lt;&gt;"",IF(AND(B818&gt;=_TM1,B818&lt;=_TM2,OR(TH!L818="1111",TH!M818="1111")),TH!D818,""),"")</f>
        <v/>
      </c>
      <c r="B818" s="36">
        <f t="shared" si="35"/>
        <v>9</v>
      </c>
      <c r="C818" s="37">
        <v>41173</v>
      </c>
      <c r="D818" s="195" t="s">
        <v>508</v>
      </c>
      <c r="E818" s="195">
        <v>41173</v>
      </c>
      <c r="F818" s="203" t="s">
        <v>451</v>
      </c>
      <c r="G818" s="577" t="s">
        <v>401</v>
      </c>
      <c r="H818" s="207" t="s">
        <v>706</v>
      </c>
      <c r="I818" s="277"/>
      <c r="J818" s="277"/>
      <c r="K818" s="698">
        <v>17000000</v>
      </c>
      <c r="L818" s="891" t="s">
        <v>24</v>
      </c>
      <c r="M818" s="891" t="s">
        <v>49</v>
      </c>
      <c r="N818" s="55" t="str">
        <f>IF(AND('331-CT'!$E$7=TH!H818,OR(L818="331",M818="331")),"x","")</f>
        <v/>
      </c>
      <c r="O818" s="55" t="str">
        <f>IF(AND($B818&gt;='111'!$N$11,$B818&lt;='111'!$O$11,OR($L818=$O$7,$M818=$O$7)),"x","")</f>
        <v/>
      </c>
      <c r="P818" s="55" t="str">
        <f>IF(AND($L818=$O$7,$B818&lt;'111'!$N$11),"x","")</f>
        <v/>
      </c>
      <c r="Q818" s="55" t="str">
        <f>IF(AND($M818=$O$7,$B818&lt;'111'!$N$11),"x","")</f>
        <v>x</v>
      </c>
      <c r="R818" s="55" t="str">
        <f>IF(ISERROR(FIND('112'!$M$9,G818,1)),"",IF((AND(FIND('112'!$M$9,G818,1)&gt;=1,$B818&gt;='112'!$N$8,$B818&lt;='112'!$O$8,OR($L818='112'!$I$6,$M818='112'!$I$6))),"x",""))</f>
        <v>x</v>
      </c>
      <c r="S818" s="55" t="str">
        <f>IF(ISERROR(FIND('112'!$M$9,G818,1)),"",IF((AND(LEFT(G818,2)=LEFT('112'!$M$9,2),B818&lt;'112'!$N$8,$L818='112'!$I$6)),"x",""))</f>
        <v/>
      </c>
      <c r="T818" s="55" t="str">
        <f>IF(ISERROR(FIND('112'!$M$9,G818,1)),"",IF((AND(RIGHT(G818,2)=RIGHT('112'!$M$9,2),B818&lt;'112'!$N$8,$M818='112'!$I$6)),"x",""))</f>
        <v/>
      </c>
      <c r="U818" s="55" t="str">
        <f>IF(AND('3411-CT'!$F$9=H818,OR(LEFT(L818,3)=$U$7,LEFT(M818,3)=$U$7)),"x","")</f>
        <v/>
      </c>
      <c r="V818" s="55" t="str">
        <f>IF(OR(TH!L818=TH!$V$7,M818=TH!$V$7),"x","")</f>
        <v/>
      </c>
      <c r="W818" s="55" t="str">
        <f>IF(AND(OR(L818="131",M818="131"),H818='131-CT'!$E$7),"x","")</f>
        <v/>
      </c>
      <c r="X818" s="55" t="str">
        <f>IF(AND(B818&gt;='IN-NX'!$P$3,B818&lt;='IN-NX'!$Q$3,'IN-NX'!$D$7=D818,OR(LEFT(TH!L818,2)="15",LEFT(TH!M818,2)="15")),"x","")</f>
        <v/>
      </c>
      <c r="Y818" s="55" t="str">
        <f>IF(AND(OR(LEFT(TH!L818,2)="15",LEFT(TH!M818,2)="15"),'152-CT'!$J$8=TH!F818),"x","")</f>
        <v/>
      </c>
      <c r="Z818" s="55" t="str">
        <f>IF(AND(OR(LEFT(TH!L818,2)="15",LEFT(TH!M818,2)="15"),TK!$E$7=TH!F818),"x","")</f>
        <v/>
      </c>
      <c r="AA818" s="55" t="str">
        <f>IF(AND(B818&lt;=NKC!$N$8,B818&gt;=NKC!$M$8),"x","")</f>
        <v/>
      </c>
    </row>
    <row r="819" spans="1:29" s="689" customFormat="1" ht="15.75" customHeight="1">
      <c r="A819" s="219" t="str">
        <f>IF(B819&lt;&gt;"",IF(AND(B819&gt;=_TM1,B819&lt;=_TM2,OR(TH!L819="1111",TH!M819="1111")),TH!D819,""),"")</f>
        <v/>
      </c>
      <c r="B819" s="36">
        <f t="shared" si="35"/>
        <v>9</v>
      </c>
      <c r="C819" s="37">
        <v>41173</v>
      </c>
      <c r="D819" s="195" t="s">
        <v>405</v>
      </c>
      <c r="E819" s="195">
        <v>41173</v>
      </c>
      <c r="F819" s="203" t="s">
        <v>455</v>
      </c>
      <c r="G819" s="203" t="s">
        <v>401</v>
      </c>
      <c r="H819" s="207"/>
      <c r="I819" s="277"/>
      <c r="J819" s="277"/>
      <c r="K819" s="698">
        <v>10000000</v>
      </c>
      <c r="L819" s="891" t="s">
        <v>8</v>
      </c>
      <c r="M819" s="891" t="s">
        <v>24</v>
      </c>
      <c r="N819" s="55" t="str">
        <f>IF(AND('331-CT'!$E$7=TH!H819,OR(L819="331",M819="331")),"x","")</f>
        <v/>
      </c>
      <c r="O819" s="55" t="str">
        <f>IF(AND($B819&gt;='111'!$N$11,$B819&lt;='111'!$O$11,OR($L819=$O$7,$M819=$O$7)),"x","")</f>
        <v/>
      </c>
      <c r="P819" s="55" t="str">
        <f>IF(AND($L819=$O$7,$B819&lt;'111'!$N$11),"x","")</f>
        <v/>
      </c>
      <c r="Q819" s="55" t="str">
        <f>IF(AND($M819=$O$7,$B819&lt;'111'!$N$11),"x","")</f>
        <v/>
      </c>
      <c r="R819" s="55" t="str">
        <f>IF(ISERROR(FIND('112'!$M$9,G819,1)),"",IF((AND(FIND('112'!$M$9,G819,1)&gt;=1,$B819&gt;='112'!$N$8,$B819&lt;='112'!$O$8,OR($L819='112'!$I$6,$M819='112'!$I$6))),"x",""))</f>
        <v>x</v>
      </c>
      <c r="S819" s="55" t="str">
        <f>IF(ISERROR(FIND('112'!$M$9,G819,1)),"",IF((AND(LEFT(G819,2)=LEFT('112'!$M$9,2),B819&lt;'112'!$N$8,$L819='112'!$I$6)),"x",""))</f>
        <v/>
      </c>
      <c r="T819" s="55" t="str">
        <f>IF(ISERROR(FIND('112'!$M$9,G819,1)),"",IF((AND(RIGHT(G819,2)=RIGHT('112'!$M$9,2),B819&lt;'112'!$N$8,$M819='112'!$I$6)),"x",""))</f>
        <v/>
      </c>
      <c r="U819" s="55" t="str">
        <f>IF(AND('3411-CT'!$F$9=H819,OR(LEFT(L819,3)=$U$7,LEFT(M819,3)=$U$7)),"x","")</f>
        <v/>
      </c>
      <c r="V819" s="55" t="str">
        <f>IF(OR(TH!L819=TH!$V$7,M819=TH!$V$7),"x","")</f>
        <v/>
      </c>
      <c r="W819" s="55" t="str">
        <f>IF(AND(OR(L819="131",M819="131"),H819='131-CT'!$E$7),"x","")</f>
        <v/>
      </c>
      <c r="X819" s="55" t="str">
        <f>IF(AND(B819&gt;='IN-NX'!$P$3,B819&lt;='IN-NX'!$Q$3,'IN-NX'!$D$7=D819,OR(LEFT(TH!L819,2)="15",LEFT(TH!M819,2)="15")),"x","")</f>
        <v/>
      </c>
      <c r="Y819" s="55" t="str">
        <f>IF(AND(OR(LEFT(TH!L819,2)="15",LEFT(TH!M819,2)="15"),'152-CT'!$J$8=TH!F819),"x","")</f>
        <v/>
      </c>
      <c r="Z819" s="55" t="str">
        <f>IF(AND(OR(LEFT(TH!L819,2)="15",LEFT(TH!M819,2)="15"),TK!$E$7=TH!F819),"x","")</f>
        <v/>
      </c>
      <c r="AA819" s="55" t="str">
        <f>IF(AND(B819&lt;=NKC!$N$8,B819&gt;=NKC!$M$8),"x","")</f>
        <v/>
      </c>
    </row>
    <row r="820" spans="1:29" s="689" customFormat="1" ht="15.75" customHeight="1">
      <c r="A820" s="219" t="str">
        <f>IF(B820&lt;&gt;"",IF(AND(B820&gt;=_TM1,B820&lt;=_TM2,OR(TH!L820="1111",TH!M820="1111")),TH!D820,""),"")</f>
        <v/>
      </c>
      <c r="B820" s="36">
        <f t="shared" si="35"/>
        <v>9</v>
      </c>
      <c r="C820" s="37">
        <v>41173</v>
      </c>
      <c r="D820" s="195" t="s">
        <v>405</v>
      </c>
      <c r="E820" s="195">
        <v>41173</v>
      </c>
      <c r="F820" s="203" t="s">
        <v>407</v>
      </c>
      <c r="G820" s="203" t="s">
        <v>401</v>
      </c>
      <c r="H820" s="207"/>
      <c r="I820" s="277"/>
      <c r="J820" s="277"/>
      <c r="K820" s="698">
        <v>20000</v>
      </c>
      <c r="L820" s="891" t="s">
        <v>87</v>
      </c>
      <c r="M820" s="891" t="s">
        <v>24</v>
      </c>
      <c r="N820" s="55" t="str">
        <f>IF(AND('331-CT'!$E$7=TH!H820,OR(L820="331",M820="331")),"x","")</f>
        <v/>
      </c>
      <c r="O820" s="55" t="str">
        <f>IF(AND($B820&gt;='111'!$N$11,$B820&lt;='111'!$O$11,OR($L820=$O$7,$M820=$O$7)),"x","")</f>
        <v/>
      </c>
      <c r="P820" s="55" t="str">
        <f>IF(AND($L820=$O$7,$B820&lt;'111'!$N$11),"x","")</f>
        <v/>
      </c>
      <c r="Q820" s="55" t="str">
        <f>IF(AND($M820=$O$7,$B820&lt;'111'!$N$11),"x","")</f>
        <v/>
      </c>
      <c r="R820" s="55" t="str">
        <f>IF(ISERROR(FIND('112'!$M$9,G820,1)),"",IF((AND(FIND('112'!$M$9,G820,1)&gt;=1,$B820&gt;='112'!$N$8,$B820&lt;='112'!$O$8,OR($L820='112'!$I$6,$M820='112'!$I$6))),"x",""))</f>
        <v>x</v>
      </c>
      <c r="S820" s="55" t="str">
        <f>IF(ISERROR(FIND('112'!$M$9,G820,1)),"",IF((AND(LEFT(G820,2)=LEFT('112'!$M$9,2),B820&lt;'112'!$N$8,$L820='112'!$I$6)),"x",""))</f>
        <v/>
      </c>
      <c r="T820" s="55" t="str">
        <f>IF(ISERROR(FIND('112'!$M$9,G820,1)),"",IF((AND(RIGHT(G820,2)=RIGHT('112'!$M$9,2),B820&lt;'112'!$N$8,$M820='112'!$I$6)),"x",""))</f>
        <v/>
      </c>
      <c r="U820" s="55" t="str">
        <f>IF(AND('3411-CT'!$F$9=H820,OR(LEFT(L820,3)=$U$7,LEFT(M820,3)=$U$7)),"x","")</f>
        <v/>
      </c>
      <c r="V820" s="55" t="str">
        <f>IF(OR(TH!L820=TH!$V$7,M820=TH!$V$7),"x","")</f>
        <v/>
      </c>
      <c r="W820" s="55" t="str">
        <f>IF(AND(OR(L820="131",M820="131"),H820='131-CT'!$E$7),"x","")</f>
        <v/>
      </c>
      <c r="X820" s="55" t="str">
        <f>IF(AND(B820&gt;='IN-NX'!$P$3,B820&lt;='IN-NX'!$Q$3,'IN-NX'!$D$7=D820,OR(LEFT(TH!L820,2)="15",LEFT(TH!M820,2)="15")),"x","")</f>
        <v/>
      </c>
      <c r="Y820" s="55" t="str">
        <f>IF(AND(OR(LEFT(TH!L820,2)="15",LEFT(TH!M820,2)="15"),'152-CT'!$J$8=TH!F820),"x","")</f>
        <v/>
      </c>
      <c r="Z820" s="55" t="str">
        <f>IF(AND(OR(LEFT(TH!L820,2)="15",LEFT(TH!M820,2)="15"),TK!$E$7=TH!F820),"x","")</f>
        <v/>
      </c>
      <c r="AA820" s="55" t="str">
        <f>IF(AND(B820&lt;=NKC!$N$8,B820&gt;=NKC!$M$8),"x","")</f>
        <v/>
      </c>
    </row>
    <row r="821" spans="1:29" s="689" customFormat="1" ht="15.75" customHeight="1">
      <c r="A821" s="219" t="str">
        <f>IF(B821&lt;&gt;"",IF(AND(B821&gt;=_TM1,B821&lt;=_TM2,OR(TH!L821="1111",TH!M821="1111")),TH!D821,""),"")</f>
        <v/>
      </c>
      <c r="B821" s="36">
        <f t="shared" si="35"/>
        <v>9</v>
      </c>
      <c r="C821" s="37">
        <v>41173</v>
      </c>
      <c r="D821" s="195" t="s">
        <v>405</v>
      </c>
      <c r="E821" s="195">
        <v>41173</v>
      </c>
      <c r="F821" s="203" t="s">
        <v>455</v>
      </c>
      <c r="G821" s="203" t="s">
        <v>401</v>
      </c>
      <c r="H821" s="207"/>
      <c r="I821" s="277"/>
      <c r="J821" s="277"/>
      <c r="K821" s="698">
        <v>35000000</v>
      </c>
      <c r="L821" s="891" t="s">
        <v>8</v>
      </c>
      <c r="M821" s="891" t="s">
        <v>24</v>
      </c>
      <c r="N821" s="55" t="str">
        <f>IF(AND('331-CT'!$E$7=TH!H821,OR(L821="331",M821="331")),"x","")</f>
        <v/>
      </c>
      <c r="O821" s="55" t="str">
        <f>IF(AND($B821&gt;='111'!$N$11,$B821&lt;='111'!$O$11,OR($L821=$O$7,$M821=$O$7)),"x","")</f>
        <v/>
      </c>
      <c r="P821" s="55" t="str">
        <f>IF(AND($L821=$O$7,$B821&lt;'111'!$N$11),"x","")</f>
        <v/>
      </c>
      <c r="Q821" s="55" t="str">
        <f>IF(AND($M821=$O$7,$B821&lt;'111'!$N$11),"x","")</f>
        <v/>
      </c>
      <c r="R821" s="55" t="str">
        <f>IF(ISERROR(FIND('112'!$M$9,G821,1)),"",IF((AND(FIND('112'!$M$9,G821,1)&gt;=1,$B821&gt;='112'!$N$8,$B821&lt;='112'!$O$8,OR($L821='112'!$I$6,$M821='112'!$I$6))),"x",""))</f>
        <v>x</v>
      </c>
      <c r="S821" s="55" t="str">
        <f>IF(ISERROR(FIND('112'!$M$9,G821,1)),"",IF((AND(LEFT(G821,2)=LEFT('112'!$M$9,2),B821&lt;'112'!$N$8,$L821='112'!$I$6)),"x",""))</f>
        <v/>
      </c>
      <c r="T821" s="55" t="str">
        <f>IF(ISERROR(FIND('112'!$M$9,G821,1)),"",IF((AND(RIGHT(G821,2)=RIGHT('112'!$M$9,2),B821&lt;'112'!$N$8,$M821='112'!$I$6)),"x",""))</f>
        <v/>
      </c>
      <c r="U821" s="55" t="str">
        <f>IF(AND('3411-CT'!$F$9=H821,OR(LEFT(L821,3)=$U$7,LEFT(M821,3)=$U$7)),"x","")</f>
        <v/>
      </c>
      <c r="V821" s="55" t="str">
        <f>IF(OR(TH!L821=TH!$V$7,M821=TH!$V$7),"x","")</f>
        <v/>
      </c>
      <c r="W821" s="55" t="str">
        <f>IF(AND(OR(L821="131",M821="131"),H821='131-CT'!$E$7),"x","")</f>
        <v/>
      </c>
      <c r="X821" s="55" t="str">
        <f>IF(AND(B821&gt;='IN-NX'!$P$3,B821&lt;='IN-NX'!$Q$3,'IN-NX'!$D$7=D821,OR(LEFT(TH!L821,2)="15",LEFT(TH!M821,2)="15")),"x","")</f>
        <v/>
      </c>
      <c r="Y821" s="55" t="str">
        <f>IF(AND(OR(LEFT(TH!L821,2)="15",LEFT(TH!M821,2)="15"),'152-CT'!$J$8=TH!F821),"x","")</f>
        <v/>
      </c>
      <c r="Z821" s="55" t="str">
        <f>IF(AND(OR(LEFT(TH!L821,2)="15",LEFT(TH!M821,2)="15"),TK!$E$7=TH!F821),"x","")</f>
        <v/>
      </c>
      <c r="AA821" s="55" t="str">
        <f>IF(AND(B821&lt;=NKC!$N$8,B821&gt;=NKC!$M$8),"x","")</f>
        <v/>
      </c>
    </row>
    <row r="822" spans="1:29" s="689" customFormat="1" ht="15.75" customHeight="1">
      <c r="A822" s="219" t="str">
        <f>IF(B822&lt;&gt;"",IF(AND(B822&gt;=_TM1,B822&lt;=_TM2,OR(TH!L822="1111",TH!M822="1111")),TH!D822,""),"")</f>
        <v/>
      </c>
      <c r="B822" s="36">
        <f t="shared" si="35"/>
        <v>9</v>
      </c>
      <c r="C822" s="37">
        <v>41173</v>
      </c>
      <c r="D822" s="195" t="s">
        <v>405</v>
      </c>
      <c r="E822" s="195">
        <v>41173</v>
      </c>
      <c r="F822" s="203" t="s">
        <v>407</v>
      </c>
      <c r="G822" s="577" t="s">
        <v>401</v>
      </c>
      <c r="H822" s="207"/>
      <c r="I822" s="277"/>
      <c r="J822" s="277"/>
      <c r="K822" s="698">
        <v>20000</v>
      </c>
      <c r="L822" s="891" t="s">
        <v>87</v>
      </c>
      <c r="M822" s="891" t="s">
        <v>24</v>
      </c>
      <c r="N822" s="55" t="str">
        <f>IF(AND('331-CT'!$E$7=TH!H822,OR(L822="331",M822="331")),"x","")</f>
        <v/>
      </c>
      <c r="O822" s="55" t="str">
        <f>IF(AND($B822&gt;='111'!$N$11,$B822&lt;='111'!$O$11,OR($L822=$O$7,$M822=$O$7)),"x","")</f>
        <v/>
      </c>
      <c r="P822" s="55" t="str">
        <f>IF(AND($L822=$O$7,$B822&lt;'111'!$N$11),"x","")</f>
        <v/>
      </c>
      <c r="Q822" s="55" t="str">
        <f>IF(AND($M822=$O$7,$B822&lt;'111'!$N$11),"x","")</f>
        <v/>
      </c>
      <c r="R822" s="55" t="str">
        <f>IF(ISERROR(FIND('112'!$M$9,G822,1)),"",IF((AND(FIND('112'!$M$9,G822,1)&gt;=1,$B822&gt;='112'!$N$8,$B822&lt;='112'!$O$8,OR($L822='112'!$I$6,$M822='112'!$I$6))),"x",""))</f>
        <v>x</v>
      </c>
      <c r="S822" s="55" t="str">
        <f>IF(ISERROR(FIND('112'!$M$9,G822,1)),"",IF((AND(LEFT(G822,2)=LEFT('112'!$M$9,2),B822&lt;'112'!$N$8,$L822='112'!$I$6)),"x",""))</f>
        <v/>
      </c>
      <c r="T822" s="55" t="str">
        <f>IF(ISERROR(FIND('112'!$M$9,G822,1)),"",IF((AND(RIGHT(G822,2)=RIGHT('112'!$M$9,2),B822&lt;'112'!$N$8,$M822='112'!$I$6)),"x",""))</f>
        <v/>
      </c>
      <c r="U822" s="55" t="str">
        <f>IF(AND('3411-CT'!$F$9=H822,OR(LEFT(L822,3)=$U$7,LEFT(M822,3)=$U$7)),"x","")</f>
        <v/>
      </c>
      <c r="V822" s="55" t="str">
        <f>IF(OR(TH!L822=TH!$V$7,M822=TH!$V$7),"x","")</f>
        <v/>
      </c>
      <c r="W822" s="55" t="str">
        <f>IF(AND(OR(L822="131",M822="131"),H822='131-CT'!$E$7),"x","")</f>
        <v/>
      </c>
      <c r="X822" s="55" t="str">
        <f>IF(AND(B822&gt;='IN-NX'!$P$3,B822&lt;='IN-NX'!$Q$3,'IN-NX'!$D$7=D822,OR(LEFT(TH!L822,2)="15",LEFT(TH!M822,2)="15")),"x","")</f>
        <v/>
      </c>
      <c r="Y822" s="55" t="str">
        <f>IF(AND(OR(LEFT(TH!L822,2)="15",LEFT(TH!M822,2)="15"),'152-CT'!$J$8=TH!F822),"x","")</f>
        <v/>
      </c>
      <c r="Z822" s="55" t="str">
        <f>IF(AND(OR(LEFT(TH!L822,2)="15",LEFT(TH!M822,2)="15"),TK!$E$7=TH!F822),"x","")</f>
        <v/>
      </c>
      <c r="AA822" s="55" t="str">
        <f>IF(AND(B822&lt;=NKC!$N$8,B822&gt;=NKC!$M$8),"x","")</f>
        <v/>
      </c>
    </row>
    <row r="823" spans="1:29" s="689" customFormat="1" ht="15.75" customHeight="1">
      <c r="A823" s="219" t="str">
        <f>IF(B823&lt;&gt;"",IF(AND(B823&gt;=_TM1,B823&lt;=_TM2,OR(TH!L823="1111",TH!M823="1111")),TH!D823,""),"")</f>
        <v/>
      </c>
      <c r="B823" s="36">
        <f t="shared" si="35"/>
        <v>9</v>
      </c>
      <c r="C823" s="37">
        <v>41173</v>
      </c>
      <c r="D823" s="195" t="s">
        <v>405</v>
      </c>
      <c r="E823" s="195">
        <v>41173</v>
      </c>
      <c r="F823" s="203" t="s">
        <v>865</v>
      </c>
      <c r="G823" s="203" t="s">
        <v>401</v>
      </c>
      <c r="H823" s="207"/>
      <c r="I823" s="277"/>
      <c r="J823" s="277"/>
      <c r="K823" s="698">
        <v>10000</v>
      </c>
      <c r="L823" s="699" t="s">
        <v>87</v>
      </c>
      <c r="M823" s="890" t="s">
        <v>24</v>
      </c>
      <c r="N823" s="55" t="str">
        <f>IF(AND('331-CT'!$E$7=TH!H823,OR(L823="331",M823="331")),"x","")</f>
        <v/>
      </c>
      <c r="O823" s="55" t="str">
        <f>IF(AND($B823&gt;='111'!$N$11,$B823&lt;='111'!$O$11,OR($L823=$O$7,$M823=$O$7)),"x","")</f>
        <v/>
      </c>
      <c r="P823" s="55" t="str">
        <f>IF(AND($L823=$O$7,$B823&lt;'111'!$N$11),"x","")</f>
        <v/>
      </c>
      <c r="Q823" s="55" t="str">
        <f>IF(AND($M823=$O$7,$B823&lt;'111'!$N$11),"x","")</f>
        <v/>
      </c>
      <c r="R823" s="55" t="str">
        <f>IF(ISERROR(FIND('112'!$M$9,G823,1)),"",IF((AND(FIND('112'!$M$9,G823,1)&gt;=1,$B823&gt;='112'!$N$8,$B823&lt;='112'!$O$8,OR($L823='112'!$I$6,$M823='112'!$I$6))),"x",""))</f>
        <v>x</v>
      </c>
      <c r="S823" s="55" t="str">
        <f>IF(ISERROR(FIND('112'!$M$9,G823,1)),"",IF((AND(LEFT(G823,2)=LEFT('112'!$M$9,2),B823&lt;'112'!$N$8,$L823='112'!$I$6)),"x",""))</f>
        <v/>
      </c>
      <c r="T823" s="55" t="str">
        <f>IF(ISERROR(FIND('112'!$M$9,G823,1)),"",IF((AND(RIGHT(G823,2)=RIGHT('112'!$M$9,2),B823&lt;'112'!$N$8,$M823='112'!$I$6)),"x",""))</f>
        <v/>
      </c>
      <c r="U823" s="55" t="str">
        <f>IF(AND('3411-CT'!$F$9=H823,OR(LEFT(L823,3)=$U$7,LEFT(M823,3)=$U$7)),"x","")</f>
        <v/>
      </c>
      <c r="V823" s="55" t="str">
        <f>IF(OR(TH!L823=TH!$V$7,M823=TH!$V$7),"x","")</f>
        <v/>
      </c>
      <c r="W823" s="55" t="str">
        <f>IF(AND(OR(L823="131",M823="131"),H823='131-CT'!$E$7),"x","")</f>
        <v/>
      </c>
      <c r="X823" s="55" t="str">
        <f>IF(AND(B823&gt;='IN-NX'!$P$3,B823&lt;='IN-NX'!$Q$3,'IN-NX'!$D$7=D823,OR(LEFT(TH!L823,2)="15",LEFT(TH!M823,2)="15")),"x","")</f>
        <v/>
      </c>
      <c r="Y823" s="55" t="str">
        <f>IF(AND(OR(LEFT(TH!L823,2)="15",LEFT(TH!M823,2)="15"),'152-CT'!$J$8=TH!F823),"x","")</f>
        <v/>
      </c>
      <c r="Z823" s="55" t="str">
        <f>IF(AND(OR(LEFT(TH!L823,2)="15",LEFT(TH!M823,2)="15"),TK!$E$7=TH!F823),"x","")</f>
        <v/>
      </c>
      <c r="AA823" s="55" t="str">
        <f>IF(AND(B823&lt;=NKC!$N$8,B823&gt;=NKC!$M$8),"x","")</f>
        <v/>
      </c>
    </row>
    <row r="824" spans="1:29" s="689" customFormat="1" ht="15.75" customHeight="1">
      <c r="A824" s="219" t="str">
        <f>IF(B824&lt;&gt;"",IF(AND(B824&gt;=_TM1,B824&lt;=_TM2,OR(TH!L824="1111",TH!M824="1111")),TH!D824,""),"")</f>
        <v/>
      </c>
      <c r="B824" s="36">
        <f t="shared" si="35"/>
        <v>9</v>
      </c>
      <c r="C824" s="37">
        <v>41173</v>
      </c>
      <c r="D824" s="205" t="s">
        <v>1116</v>
      </c>
      <c r="E824" s="195">
        <v>41173</v>
      </c>
      <c r="F824" s="203" t="s">
        <v>1059</v>
      </c>
      <c r="G824" s="577" t="s">
        <v>1063</v>
      </c>
      <c r="H824" s="7" t="s">
        <v>487</v>
      </c>
      <c r="I824" s="277">
        <v>1485</v>
      </c>
      <c r="J824" s="277">
        <v>19979</v>
      </c>
      <c r="K824" s="698">
        <v>29668815</v>
      </c>
      <c r="L824" s="891" t="s">
        <v>186</v>
      </c>
      <c r="M824" s="699" t="s">
        <v>8</v>
      </c>
      <c r="N824" s="55" t="str">
        <f>IF(AND('331-CT'!$E$7=TH!H824,OR(L824="331",M824="331")),"x","")</f>
        <v/>
      </c>
      <c r="O824" s="55" t="str">
        <f>IF(AND($B824&gt;='111'!$N$11,$B824&lt;='111'!$O$11,OR($L824=$O$7,$M824=$O$7)),"x","")</f>
        <v/>
      </c>
      <c r="P824" s="55" t="str">
        <f>IF(AND($L824=$O$7,$B824&lt;'111'!$N$11),"x","")</f>
        <v/>
      </c>
      <c r="Q824" s="55" t="str">
        <f>IF(AND($M824=$O$7,$B824&lt;'111'!$N$11),"x","")</f>
        <v/>
      </c>
      <c r="R824" s="55" t="str">
        <f>IF(ISERROR(FIND('112'!$M$9,G824,1)),"",IF((AND(FIND('112'!$M$9,G824,1)&gt;=1,$B824&gt;='112'!$N$8,$B824&lt;='112'!$O$8,OR($L824='112'!$I$6,$M824='112'!$I$6))),"x",""))</f>
        <v/>
      </c>
      <c r="S824" s="55" t="str">
        <f>IF(ISERROR(FIND('112'!$M$9,G824,1)),"",IF((AND(LEFT(G824,2)=LEFT('112'!$M$9,2),B824&lt;'112'!$N$8,$L824='112'!$I$6)),"x",""))</f>
        <v/>
      </c>
      <c r="T824" s="55" t="str">
        <f>IF(ISERROR(FIND('112'!$M$9,G824,1)),"",IF((AND(RIGHT(G824,2)=RIGHT('112'!$M$9,2),B824&lt;'112'!$N$8,$M824='112'!$I$6)),"x",""))</f>
        <v/>
      </c>
      <c r="U824" s="55" t="str">
        <f>IF(AND('3411-CT'!$F$9=H824,OR(LEFT(L824,3)=$U$7,LEFT(M824,3)=$U$7)),"x","")</f>
        <v/>
      </c>
      <c r="V824" s="55" t="str">
        <f>IF(OR(TH!L824=TH!$V$7,M824=TH!$V$7),"x","")</f>
        <v/>
      </c>
      <c r="W824" s="55" t="str">
        <f>IF(AND(OR(L824="131",M824="131"),H824='131-CT'!$E$7),"x","")</f>
        <v/>
      </c>
      <c r="X824" s="55" t="str">
        <f>IF(AND(B824&gt;='IN-NX'!$P$3,B824&lt;='IN-NX'!$Q$3,'IN-NX'!$D$7=D824,OR(LEFT(TH!L824,2)="15",LEFT(TH!M824,2)="15")),"x","")</f>
        <v/>
      </c>
      <c r="Y824" s="55" t="str">
        <f>IF(AND(OR(LEFT(TH!L824,2)="15",LEFT(TH!M824,2)="15"),'152-CT'!$J$8=TH!F824),"x","")</f>
        <v/>
      </c>
      <c r="Z824" s="55" t="str">
        <f>IF(AND(OR(LEFT(TH!L824,2)="15",LEFT(TH!M824,2)="15"),TK!$E$7=TH!F824),"x","")</f>
        <v/>
      </c>
      <c r="AA824" s="55" t="str">
        <f>IF(AND(B824&lt;=NKC!$N$8,B824&gt;=NKC!$M$8),"x","")</f>
        <v/>
      </c>
      <c r="AC824" s="226" t="str">
        <f>IF(ISNA(VLOOKUP(F824,NXT!$C$18:$C$347,1,0)),x,"")</f>
        <v/>
      </c>
    </row>
    <row r="825" spans="1:29" s="689" customFormat="1" ht="15.75" customHeight="1">
      <c r="A825" s="219" t="str">
        <f>IF(B825&lt;&gt;"",IF(AND(B825&gt;=_TM1,B825&lt;=_TM2,OR(TH!L825="1111",TH!M825="1111")),TH!D825,""),"")</f>
        <v/>
      </c>
      <c r="B825" s="36">
        <f t="shared" si="35"/>
        <v>9</v>
      </c>
      <c r="C825" s="37">
        <v>41173</v>
      </c>
      <c r="D825" s="205" t="s">
        <v>1116</v>
      </c>
      <c r="E825" s="195">
        <v>41173</v>
      </c>
      <c r="F825" s="203" t="s">
        <v>573</v>
      </c>
      <c r="G825" s="203" t="s">
        <v>1063</v>
      </c>
      <c r="H825" s="7" t="s">
        <v>487</v>
      </c>
      <c r="I825" s="277"/>
      <c r="J825" s="277"/>
      <c r="K825" s="698">
        <v>2966882</v>
      </c>
      <c r="L825" s="891" t="s">
        <v>9</v>
      </c>
      <c r="M825" s="699" t="s">
        <v>8</v>
      </c>
      <c r="N825" s="55" t="str">
        <f>IF(AND('331-CT'!$E$7=TH!H825,OR(L825="331",M825="331")),"x","")</f>
        <v/>
      </c>
      <c r="O825" s="55" t="str">
        <f>IF(AND($B825&gt;='111'!$N$11,$B825&lt;='111'!$O$11,OR($L825=$O$7,$M825=$O$7)),"x","")</f>
        <v/>
      </c>
      <c r="P825" s="55" t="str">
        <f>IF(AND($L825=$O$7,$B825&lt;'111'!$N$11),"x","")</f>
        <v/>
      </c>
      <c r="Q825" s="55" t="str">
        <f>IF(AND($M825=$O$7,$B825&lt;'111'!$N$11),"x","")</f>
        <v/>
      </c>
      <c r="R825" s="55" t="str">
        <f>IF(ISERROR(FIND('112'!$M$9,G825,1)),"",IF((AND(FIND('112'!$M$9,G825,1)&gt;=1,$B825&gt;='112'!$N$8,$B825&lt;='112'!$O$8,OR($L825='112'!$I$6,$M825='112'!$I$6))),"x",""))</f>
        <v/>
      </c>
      <c r="S825" s="55" t="str">
        <f>IF(ISERROR(FIND('112'!$M$9,G825,1)),"",IF((AND(LEFT(G825,2)=LEFT('112'!$M$9,2),B825&lt;'112'!$N$8,$L825='112'!$I$6)),"x",""))</f>
        <v/>
      </c>
      <c r="T825" s="55" t="str">
        <f>IF(ISERROR(FIND('112'!$M$9,G825,1)),"",IF((AND(RIGHT(G825,2)=RIGHT('112'!$M$9,2),B825&lt;'112'!$N$8,$M825='112'!$I$6)),"x",""))</f>
        <v/>
      </c>
      <c r="U825" s="55" t="str">
        <f>IF(AND('3411-CT'!$F$9=H825,OR(LEFT(L825,3)=$U$7,LEFT(M825,3)=$U$7)),"x","")</f>
        <v/>
      </c>
      <c r="V825" s="55" t="str">
        <f>IF(OR(TH!L825=TH!$V$7,M825=TH!$V$7),"x","")</f>
        <v/>
      </c>
      <c r="W825" s="55" t="str">
        <f>IF(AND(OR(L825="131",M825="131"),H825='131-CT'!$E$7),"x","")</f>
        <v/>
      </c>
      <c r="X825" s="55" t="str">
        <f>IF(AND(B825&gt;='IN-NX'!$P$3,B825&lt;='IN-NX'!$Q$3,'IN-NX'!$D$7=D825,OR(LEFT(TH!L825,2)="15",LEFT(TH!M825,2)="15")),"x","")</f>
        <v/>
      </c>
      <c r="Y825" s="55" t="str">
        <f>IF(AND(OR(LEFT(TH!L825,2)="15",LEFT(TH!M825,2)="15"),'152-CT'!$J$8=TH!F825),"x","")</f>
        <v/>
      </c>
      <c r="Z825" s="55" t="str">
        <f>IF(AND(OR(LEFT(TH!L825,2)="15",LEFT(TH!M825,2)="15"),TK!$E$7=TH!F825),"x","")</f>
        <v/>
      </c>
      <c r="AA825" s="55" t="str">
        <f>IF(AND(B825&lt;=NKC!$N$8,B825&gt;=NKC!$M$8),"x","")</f>
        <v/>
      </c>
    </row>
    <row r="826" spans="1:29" s="689" customFormat="1" ht="15.75" customHeight="1">
      <c r="A826" s="219" t="str">
        <f>IF(B826&lt;&gt;"",IF(AND(B826&gt;=_TM1,B826&lt;=_TM2,OR(TH!L826="1111",TH!M826="1111")),TH!D826,""),"")</f>
        <v/>
      </c>
      <c r="B826" s="36">
        <f t="shared" si="35"/>
        <v>9</v>
      </c>
      <c r="C826" s="37">
        <v>41177</v>
      </c>
      <c r="D826" s="195" t="s">
        <v>404</v>
      </c>
      <c r="E826" s="195">
        <v>41177</v>
      </c>
      <c r="F826" s="203" t="s">
        <v>453</v>
      </c>
      <c r="G826" s="577" t="s">
        <v>401</v>
      </c>
      <c r="H826" s="207"/>
      <c r="I826" s="277"/>
      <c r="J826" s="277"/>
      <c r="K826" s="698">
        <v>31990</v>
      </c>
      <c r="L826" s="891" t="s">
        <v>24</v>
      </c>
      <c r="M826" s="891" t="s">
        <v>41</v>
      </c>
      <c r="N826" s="55" t="str">
        <f>IF(AND('331-CT'!$E$7=TH!H826,OR(L826="331",M826="331")),"x","")</f>
        <v/>
      </c>
      <c r="O826" s="55" t="str">
        <f>IF(AND($B826&gt;='111'!$N$11,$B826&lt;='111'!$O$11,OR($L826=$O$7,$M826=$O$7)),"x","")</f>
        <v/>
      </c>
      <c r="P826" s="55" t="str">
        <f>IF(AND($L826=$O$7,$B826&lt;'111'!$N$11),"x","")</f>
        <v/>
      </c>
      <c r="Q826" s="55" t="str">
        <f>IF(AND($M826=$O$7,$B826&lt;'111'!$N$11),"x","")</f>
        <v/>
      </c>
      <c r="R826" s="55" t="str">
        <f>IF(ISERROR(FIND('112'!$M$9,G826,1)),"",IF((AND(FIND('112'!$M$9,G826,1)&gt;=1,$B826&gt;='112'!$N$8,$B826&lt;='112'!$O$8,OR($L826='112'!$I$6,$M826='112'!$I$6))),"x",""))</f>
        <v>x</v>
      </c>
      <c r="S826" s="55" t="str">
        <f>IF(ISERROR(FIND('112'!$M$9,G826,1)),"",IF((AND(LEFT(G826,2)=LEFT('112'!$M$9,2),B826&lt;'112'!$N$8,$L826='112'!$I$6)),"x",""))</f>
        <v/>
      </c>
      <c r="T826" s="55" t="str">
        <f>IF(ISERROR(FIND('112'!$M$9,G826,1)),"",IF((AND(RIGHT(G826,2)=RIGHT('112'!$M$9,2),B826&lt;'112'!$N$8,$M826='112'!$I$6)),"x",""))</f>
        <v/>
      </c>
      <c r="U826" s="55" t="str">
        <f>IF(AND('3411-CT'!$F$9=H826,OR(LEFT(L826,3)=$U$7,LEFT(M826,3)=$U$7)),"x","")</f>
        <v/>
      </c>
      <c r="V826" s="55" t="str">
        <f>IF(OR(TH!L826=TH!$V$7,M826=TH!$V$7),"x","")</f>
        <v/>
      </c>
      <c r="W826" s="55" t="str">
        <f>IF(AND(OR(L826="131",M826="131"),H826='131-CT'!$E$7),"x","")</f>
        <v/>
      </c>
      <c r="X826" s="55" t="str">
        <f>IF(AND(B826&gt;='IN-NX'!$P$3,B826&lt;='IN-NX'!$Q$3,'IN-NX'!$D$7=D826,OR(LEFT(TH!L826,2)="15",LEFT(TH!M826,2)="15")),"x","")</f>
        <v/>
      </c>
      <c r="Y826" s="55" t="str">
        <f>IF(AND(OR(LEFT(TH!L826,2)="15",LEFT(TH!M826,2)="15"),'152-CT'!$J$8=TH!F826),"x","")</f>
        <v/>
      </c>
      <c r="Z826" s="55" t="str">
        <f>IF(AND(OR(LEFT(TH!L826,2)="15",LEFT(TH!M826,2)="15"),TK!$E$7=TH!F826),"x","")</f>
        <v/>
      </c>
      <c r="AA826" s="55" t="str">
        <f>IF(AND(B826&lt;=NKC!$N$8,B826&gt;=NKC!$M$8),"x","")</f>
        <v/>
      </c>
    </row>
    <row r="827" spans="1:29" s="689" customFormat="1" ht="15.75" customHeight="1">
      <c r="A827" s="219" t="str">
        <f>IF(B827&lt;&gt;"",IF(AND(B827&gt;=_TM1,B827&lt;=_TM2,OR(TH!L827="1111",TH!M827="1111")),TH!D827,""),"")</f>
        <v/>
      </c>
      <c r="B827" s="36">
        <f t="shared" si="35"/>
        <v>9</v>
      </c>
      <c r="C827" s="37">
        <v>41179</v>
      </c>
      <c r="D827" s="205" t="s">
        <v>1117</v>
      </c>
      <c r="E827" s="195">
        <v>41179</v>
      </c>
      <c r="F827" s="203" t="s">
        <v>1059</v>
      </c>
      <c r="G827" s="203" t="s">
        <v>1064</v>
      </c>
      <c r="H827" s="7" t="s">
        <v>487</v>
      </c>
      <c r="I827" s="277">
        <v>1000</v>
      </c>
      <c r="J827" s="277">
        <v>19979</v>
      </c>
      <c r="K827" s="698">
        <v>19979000</v>
      </c>
      <c r="L827" s="891" t="s">
        <v>186</v>
      </c>
      <c r="M827" s="699" t="s">
        <v>8</v>
      </c>
      <c r="N827" s="55" t="str">
        <f>IF(AND('331-CT'!$E$7=TH!H827,OR(L827="331",M827="331")),"x","")</f>
        <v/>
      </c>
      <c r="O827" s="55" t="str">
        <f>IF(AND($B827&gt;='111'!$N$11,$B827&lt;='111'!$O$11,OR($L827=$O$7,$M827=$O$7)),"x","")</f>
        <v/>
      </c>
      <c r="P827" s="55" t="str">
        <f>IF(AND($L827=$O$7,$B827&lt;'111'!$N$11),"x","")</f>
        <v/>
      </c>
      <c r="Q827" s="55" t="str">
        <f>IF(AND($M827=$O$7,$B827&lt;'111'!$N$11),"x","")</f>
        <v/>
      </c>
      <c r="R827" s="55" t="str">
        <f>IF(ISERROR(FIND('112'!$M$9,G827,1)),"",IF((AND(FIND('112'!$M$9,G827,1)&gt;=1,$B827&gt;='112'!$N$8,$B827&lt;='112'!$O$8,OR($L827='112'!$I$6,$M827='112'!$I$6))),"x",""))</f>
        <v/>
      </c>
      <c r="S827" s="55" t="str">
        <f>IF(ISERROR(FIND('112'!$M$9,G827,1)),"",IF((AND(LEFT(G827,2)=LEFT('112'!$M$9,2),B827&lt;'112'!$N$8,$L827='112'!$I$6)),"x",""))</f>
        <v/>
      </c>
      <c r="T827" s="55" t="str">
        <f>IF(ISERROR(FIND('112'!$M$9,G827,1)),"",IF((AND(RIGHT(G827,2)=RIGHT('112'!$M$9,2),B827&lt;'112'!$N$8,$M827='112'!$I$6)),"x",""))</f>
        <v/>
      </c>
      <c r="U827" s="55" t="str">
        <f>IF(AND('3411-CT'!$F$9=H827,OR(LEFT(L827,3)=$U$7,LEFT(M827,3)=$U$7)),"x","")</f>
        <v/>
      </c>
      <c r="V827" s="55" t="str">
        <f>IF(OR(TH!L827=TH!$V$7,M827=TH!$V$7),"x","")</f>
        <v/>
      </c>
      <c r="W827" s="55" t="str">
        <f>IF(AND(OR(L827="131",M827="131"),H827='131-CT'!$E$7),"x","")</f>
        <v/>
      </c>
      <c r="X827" s="55" t="str">
        <f>IF(AND(B827&gt;='IN-NX'!$P$3,B827&lt;='IN-NX'!$Q$3,'IN-NX'!$D$7=D827,OR(LEFT(TH!L827,2)="15",LEFT(TH!M827,2)="15")),"x","")</f>
        <v/>
      </c>
      <c r="Y827" s="55" t="str">
        <f>IF(AND(OR(LEFT(TH!L827,2)="15",LEFT(TH!M827,2)="15"),'152-CT'!$J$8=TH!F827),"x","")</f>
        <v/>
      </c>
      <c r="Z827" s="55" t="str">
        <f>IF(AND(OR(LEFT(TH!L827,2)="15",LEFT(TH!M827,2)="15"),TK!$E$7=TH!F827),"x","")</f>
        <v/>
      </c>
      <c r="AA827" s="55" t="str">
        <f>IF(AND(B827&lt;=NKC!$N$8,B827&gt;=NKC!$M$8),"x","")</f>
        <v/>
      </c>
      <c r="AC827" s="226" t="str">
        <f>IF(ISNA(VLOOKUP(F827,NXT!$C$18:$C$347,1,0)),x,"")</f>
        <v/>
      </c>
    </row>
    <row r="828" spans="1:29" s="689" customFormat="1" ht="15.75" customHeight="1">
      <c r="A828" s="219" t="str">
        <f>IF(B828&lt;&gt;"",IF(AND(B828&gt;=_TM1,B828&lt;=_TM2,OR(TH!L828="1111",TH!M828="1111")),TH!D828,""),"")</f>
        <v/>
      </c>
      <c r="B828" s="36">
        <f t="shared" si="35"/>
        <v>9</v>
      </c>
      <c r="C828" s="37">
        <v>41179</v>
      </c>
      <c r="D828" s="205" t="s">
        <v>1117</v>
      </c>
      <c r="E828" s="195">
        <v>41179</v>
      </c>
      <c r="F828" s="203" t="s">
        <v>573</v>
      </c>
      <c r="G828" s="577" t="s">
        <v>1064</v>
      </c>
      <c r="H828" s="7" t="s">
        <v>487</v>
      </c>
      <c r="I828" s="277"/>
      <c r="J828" s="277"/>
      <c r="K828" s="698">
        <v>1997900</v>
      </c>
      <c r="L828" s="891" t="s">
        <v>9</v>
      </c>
      <c r="M828" s="699" t="s">
        <v>8</v>
      </c>
      <c r="N828" s="55" t="str">
        <f>IF(AND('331-CT'!$E$7=TH!H828,OR(L828="331",M828="331")),"x","")</f>
        <v/>
      </c>
      <c r="O828" s="55" t="str">
        <f>IF(AND($B828&gt;='111'!$N$11,$B828&lt;='111'!$O$11,OR($L828=$O$7,$M828=$O$7)),"x","")</f>
        <v/>
      </c>
      <c r="P828" s="55" t="str">
        <f>IF(AND($L828=$O$7,$B828&lt;'111'!$N$11),"x","")</f>
        <v/>
      </c>
      <c r="Q828" s="55" t="str">
        <f>IF(AND($M828=$O$7,$B828&lt;'111'!$N$11),"x","")</f>
        <v/>
      </c>
      <c r="R828" s="55" t="str">
        <f>IF(ISERROR(FIND('112'!$M$9,G828,1)),"",IF((AND(FIND('112'!$M$9,G828,1)&gt;=1,$B828&gt;='112'!$N$8,$B828&lt;='112'!$O$8,OR($L828='112'!$I$6,$M828='112'!$I$6))),"x",""))</f>
        <v/>
      </c>
      <c r="S828" s="55" t="str">
        <f>IF(ISERROR(FIND('112'!$M$9,G828,1)),"",IF((AND(LEFT(G828,2)=LEFT('112'!$M$9,2),B828&lt;'112'!$N$8,$L828='112'!$I$6)),"x",""))</f>
        <v/>
      </c>
      <c r="T828" s="55" t="str">
        <f>IF(ISERROR(FIND('112'!$M$9,G828,1)),"",IF((AND(RIGHT(G828,2)=RIGHT('112'!$M$9,2),B828&lt;'112'!$N$8,$M828='112'!$I$6)),"x",""))</f>
        <v/>
      </c>
      <c r="U828" s="55" t="str">
        <f>IF(AND('3411-CT'!$F$9=H828,OR(LEFT(L828,3)=$U$7,LEFT(M828,3)=$U$7)),"x","")</f>
        <v/>
      </c>
      <c r="V828" s="55" t="str">
        <f>IF(OR(TH!L828=TH!$V$7,M828=TH!$V$7),"x","")</f>
        <v/>
      </c>
      <c r="W828" s="55" t="str">
        <f>IF(AND(OR(L828="131",M828="131"),H828='131-CT'!$E$7),"x","")</f>
        <v/>
      </c>
      <c r="X828" s="55" t="str">
        <f>IF(AND(B828&gt;='IN-NX'!$P$3,B828&lt;='IN-NX'!$Q$3,'IN-NX'!$D$7=D828,OR(LEFT(TH!L828,2)="15",LEFT(TH!M828,2)="15")),"x","")</f>
        <v/>
      </c>
      <c r="Y828" s="55" t="str">
        <f>IF(AND(OR(LEFT(TH!L828,2)="15",LEFT(TH!M828,2)="15"),'152-CT'!$J$8=TH!F828),"x","")</f>
        <v/>
      </c>
      <c r="Z828" s="55" t="str">
        <f>IF(AND(OR(LEFT(TH!L828,2)="15",LEFT(TH!M828,2)="15"),TK!$E$7=TH!F828),"x","")</f>
        <v/>
      </c>
      <c r="AA828" s="55" t="str">
        <f>IF(AND(B828&lt;=NKC!$N$8,B828&gt;=NKC!$M$8),"x","")</f>
        <v/>
      </c>
    </row>
    <row r="829" spans="1:29" s="689" customFormat="1" ht="15.75" customHeight="1">
      <c r="A829" s="219" t="str">
        <f>IF(B829&lt;&gt;"",IF(AND(B829&gt;=_TM1,B829&lt;=_TM2,OR(TH!L829="1111",TH!M829="1111")),TH!D829,""),"")</f>
        <v/>
      </c>
      <c r="B829" s="36">
        <f t="shared" si="35"/>
        <v>9</v>
      </c>
      <c r="C829" s="37">
        <v>41180</v>
      </c>
      <c r="D829" s="195" t="s">
        <v>509</v>
      </c>
      <c r="E829" s="195">
        <v>41180</v>
      </c>
      <c r="F829" s="203" t="s">
        <v>451</v>
      </c>
      <c r="G829" s="203" t="s">
        <v>401</v>
      </c>
      <c r="H829" s="207" t="s">
        <v>706</v>
      </c>
      <c r="I829" s="277"/>
      <c r="J829" s="277"/>
      <c r="K829" s="698">
        <v>20000000</v>
      </c>
      <c r="L829" s="891" t="s">
        <v>24</v>
      </c>
      <c r="M829" s="891" t="s">
        <v>49</v>
      </c>
      <c r="N829" s="55" t="str">
        <f>IF(AND('331-CT'!$E$7=TH!H829,OR(L829="331",M829="331")),"x","")</f>
        <v/>
      </c>
      <c r="O829" s="55" t="str">
        <f>IF(AND($B829&gt;='111'!$N$11,$B829&lt;='111'!$O$11,OR($L829=$O$7,$M829=$O$7)),"x","")</f>
        <v/>
      </c>
      <c r="P829" s="55" t="str">
        <f>IF(AND($L829=$O$7,$B829&lt;'111'!$N$11),"x","")</f>
        <v/>
      </c>
      <c r="Q829" s="55" t="str">
        <f>IF(AND($M829=$O$7,$B829&lt;'111'!$N$11),"x","")</f>
        <v>x</v>
      </c>
      <c r="R829" s="55" t="str">
        <f>IF(ISERROR(FIND('112'!$M$9,G829,1)),"",IF((AND(FIND('112'!$M$9,G829,1)&gt;=1,$B829&gt;='112'!$N$8,$B829&lt;='112'!$O$8,OR($L829='112'!$I$6,$M829='112'!$I$6))),"x",""))</f>
        <v>x</v>
      </c>
      <c r="S829" s="55" t="str">
        <f>IF(ISERROR(FIND('112'!$M$9,G829,1)),"",IF((AND(LEFT(G829,2)=LEFT('112'!$M$9,2),B829&lt;'112'!$N$8,$L829='112'!$I$6)),"x",""))</f>
        <v/>
      </c>
      <c r="T829" s="55" t="str">
        <f>IF(ISERROR(FIND('112'!$M$9,G829,1)),"",IF((AND(RIGHT(G829,2)=RIGHT('112'!$M$9,2),B829&lt;'112'!$N$8,$M829='112'!$I$6)),"x",""))</f>
        <v/>
      </c>
      <c r="U829" s="55" t="str">
        <f>IF(AND('3411-CT'!$F$9=H829,OR(LEFT(L829,3)=$U$7,LEFT(M829,3)=$U$7)),"x","")</f>
        <v/>
      </c>
      <c r="V829" s="55" t="str">
        <f>IF(OR(TH!L829=TH!$V$7,M829=TH!$V$7),"x","")</f>
        <v/>
      </c>
      <c r="W829" s="55" t="str">
        <f>IF(AND(OR(L829="131",M829="131"),H829='131-CT'!$E$7),"x","")</f>
        <v/>
      </c>
      <c r="X829" s="55" t="str">
        <f>IF(AND(B829&gt;='IN-NX'!$P$3,B829&lt;='IN-NX'!$Q$3,'IN-NX'!$D$7=D829,OR(LEFT(TH!L829,2)="15",LEFT(TH!M829,2)="15")),"x","")</f>
        <v/>
      </c>
      <c r="Y829" s="55" t="str">
        <f>IF(AND(OR(LEFT(TH!L829,2)="15",LEFT(TH!M829,2)="15"),'152-CT'!$J$8=TH!F829),"x","")</f>
        <v/>
      </c>
      <c r="Z829" s="55" t="str">
        <f>IF(AND(OR(LEFT(TH!L829,2)="15",LEFT(TH!M829,2)="15"),TK!$E$7=TH!F829),"x","")</f>
        <v/>
      </c>
      <c r="AA829" s="55" t="str">
        <f>IF(AND(B829&lt;=NKC!$N$8,B829&gt;=NKC!$M$8),"x","")</f>
        <v/>
      </c>
    </row>
    <row r="830" spans="1:29" s="689" customFormat="1" ht="15.75" customHeight="1">
      <c r="A830" s="219" t="str">
        <f>IF(B830&lt;&gt;"",IF(AND(B830&gt;=_TM1,B830&lt;=_TM2,OR(TH!L830="1111",TH!M830="1111")),TH!D830,""),"")</f>
        <v/>
      </c>
      <c r="B830" s="36">
        <f t="shared" si="35"/>
        <v>9</v>
      </c>
      <c r="C830" s="37">
        <v>41181</v>
      </c>
      <c r="D830" s="195" t="s">
        <v>405</v>
      </c>
      <c r="E830" s="195">
        <v>41181</v>
      </c>
      <c r="F830" s="203" t="s">
        <v>455</v>
      </c>
      <c r="G830" s="577" t="s">
        <v>401</v>
      </c>
      <c r="H830" s="207"/>
      <c r="I830" s="277"/>
      <c r="J830" s="277"/>
      <c r="K830" s="698">
        <v>20000000</v>
      </c>
      <c r="L830" s="891" t="s">
        <v>8</v>
      </c>
      <c r="M830" s="891" t="s">
        <v>24</v>
      </c>
      <c r="N830" s="55" t="str">
        <f>IF(AND('331-CT'!$E$7=TH!H830,OR(L830="331",M830="331")),"x","")</f>
        <v/>
      </c>
      <c r="O830" s="55" t="str">
        <f>IF(AND($B830&gt;='111'!$N$11,$B830&lt;='111'!$O$11,OR($L830=$O$7,$M830=$O$7)),"x","")</f>
        <v/>
      </c>
      <c r="P830" s="55" t="str">
        <f>IF(AND($L830=$O$7,$B830&lt;'111'!$N$11),"x","")</f>
        <v/>
      </c>
      <c r="Q830" s="55" t="str">
        <f>IF(AND($M830=$O$7,$B830&lt;'111'!$N$11),"x","")</f>
        <v/>
      </c>
      <c r="R830" s="55" t="str">
        <f>IF(ISERROR(FIND('112'!$M$9,G830,1)),"",IF((AND(FIND('112'!$M$9,G830,1)&gt;=1,$B830&gt;='112'!$N$8,$B830&lt;='112'!$O$8,OR($L830='112'!$I$6,$M830='112'!$I$6))),"x",""))</f>
        <v>x</v>
      </c>
      <c r="S830" s="55" t="str">
        <f>IF(ISERROR(FIND('112'!$M$9,G830,1)),"",IF((AND(LEFT(G830,2)=LEFT('112'!$M$9,2),B830&lt;'112'!$N$8,$L830='112'!$I$6)),"x",""))</f>
        <v/>
      </c>
      <c r="T830" s="55" t="str">
        <f>IF(ISERROR(FIND('112'!$M$9,G830,1)),"",IF((AND(RIGHT(G830,2)=RIGHT('112'!$M$9,2),B830&lt;'112'!$N$8,$M830='112'!$I$6)),"x",""))</f>
        <v/>
      </c>
      <c r="U830" s="55" t="str">
        <f>IF(AND('3411-CT'!$F$9=H830,OR(LEFT(L830,3)=$U$7,LEFT(M830,3)=$U$7)),"x","")</f>
        <v/>
      </c>
      <c r="V830" s="55" t="str">
        <f>IF(OR(TH!L830=TH!$V$7,M830=TH!$V$7),"x","")</f>
        <v/>
      </c>
      <c r="W830" s="55" t="str">
        <f>IF(AND(OR(L830="131",M830="131"),H830='131-CT'!$E$7),"x","")</f>
        <v/>
      </c>
      <c r="X830" s="55" t="str">
        <f>IF(AND(B830&gt;='IN-NX'!$P$3,B830&lt;='IN-NX'!$Q$3,'IN-NX'!$D$7=D830,OR(LEFT(TH!L830,2)="15",LEFT(TH!M830,2)="15")),"x","")</f>
        <v/>
      </c>
      <c r="Y830" s="55" t="str">
        <f>IF(AND(OR(LEFT(TH!L830,2)="15",LEFT(TH!M830,2)="15"),'152-CT'!$J$8=TH!F830),"x","")</f>
        <v/>
      </c>
      <c r="Z830" s="55" t="str">
        <f>IF(AND(OR(LEFT(TH!L830,2)="15",LEFT(TH!M830,2)="15"),TK!$E$7=TH!F830),"x","")</f>
        <v/>
      </c>
      <c r="AA830" s="55" t="str">
        <f>IF(AND(B830&lt;=NKC!$N$8,B830&gt;=NKC!$M$8),"x","")</f>
        <v/>
      </c>
    </row>
    <row r="831" spans="1:29" s="689" customFormat="1" ht="15.75" customHeight="1">
      <c r="A831" s="219" t="str">
        <f>IF(B831&lt;&gt;"",IF(AND(B831&gt;=_TM1,B831&lt;=_TM2,OR(TH!L831="1111",TH!M831="1111")),TH!D831,""),"")</f>
        <v/>
      </c>
      <c r="B831" s="36">
        <f t="shared" si="35"/>
        <v>9</v>
      </c>
      <c r="C831" s="37">
        <v>41181</v>
      </c>
      <c r="D831" s="195" t="s">
        <v>405</v>
      </c>
      <c r="E831" s="195">
        <v>41181</v>
      </c>
      <c r="F831" s="203" t="s">
        <v>407</v>
      </c>
      <c r="G831" s="203" t="s">
        <v>401</v>
      </c>
      <c r="H831" s="207"/>
      <c r="I831" s="277"/>
      <c r="J831" s="277"/>
      <c r="K831" s="698">
        <v>20000</v>
      </c>
      <c r="L831" s="891" t="s">
        <v>87</v>
      </c>
      <c r="M831" s="891" t="s">
        <v>24</v>
      </c>
      <c r="N831" s="55" t="str">
        <f>IF(AND('331-CT'!$E$7=TH!H831,OR(L831="331",M831="331")),"x","")</f>
        <v/>
      </c>
      <c r="O831" s="55" t="str">
        <f>IF(AND($B831&gt;='111'!$N$11,$B831&lt;='111'!$O$11,OR($L831=$O$7,$M831=$O$7)),"x","")</f>
        <v/>
      </c>
      <c r="P831" s="55" t="str">
        <f>IF(AND($L831=$O$7,$B831&lt;'111'!$N$11),"x","")</f>
        <v/>
      </c>
      <c r="Q831" s="55" t="str">
        <f>IF(AND($M831=$O$7,$B831&lt;'111'!$N$11),"x","")</f>
        <v/>
      </c>
      <c r="R831" s="55" t="str">
        <f>IF(ISERROR(FIND('112'!$M$9,G831,1)),"",IF((AND(FIND('112'!$M$9,G831,1)&gt;=1,$B831&gt;='112'!$N$8,$B831&lt;='112'!$O$8,OR($L831='112'!$I$6,$M831='112'!$I$6))),"x",""))</f>
        <v>x</v>
      </c>
      <c r="S831" s="55" t="str">
        <f>IF(ISERROR(FIND('112'!$M$9,G831,1)),"",IF((AND(LEFT(G831,2)=LEFT('112'!$M$9,2),B831&lt;'112'!$N$8,$L831='112'!$I$6)),"x",""))</f>
        <v/>
      </c>
      <c r="T831" s="55" t="str">
        <f>IF(ISERROR(FIND('112'!$M$9,G831,1)),"",IF((AND(RIGHT(G831,2)=RIGHT('112'!$M$9,2),B831&lt;'112'!$N$8,$M831='112'!$I$6)),"x",""))</f>
        <v/>
      </c>
      <c r="U831" s="55" t="str">
        <f>IF(AND('3411-CT'!$F$9=H831,OR(LEFT(L831,3)=$U$7,LEFT(M831,3)=$U$7)),"x","")</f>
        <v/>
      </c>
      <c r="V831" s="55" t="str">
        <f>IF(OR(TH!L831=TH!$V$7,M831=TH!$V$7),"x","")</f>
        <v/>
      </c>
      <c r="W831" s="55" t="str">
        <f>IF(AND(OR(L831="131",M831="131"),H831='131-CT'!$E$7),"x","")</f>
        <v/>
      </c>
      <c r="X831" s="55" t="str">
        <f>IF(AND(B831&gt;='IN-NX'!$P$3,B831&lt;='IN-NX'!$Q$3,'IN-NX'!$D$7=D831,OR(LEFT(TH!L831,2)="15",LEFT(TH!M831,2)="15")),"x","")</f>
        <v/>
      </c>
      <c r="Y831" s="55" t="str">
        <f>IF(AND(OR(LEFT(TH!L831,2)="15",LEFT(TH!M831,2)="15"),'152-CT'!$J$8=TH!F831),"x","")</f>
        <v/>
      </c>
      <c r="Z831" s="55" t="str">
        <f>IF(AND(OR(LEFT(TH!L831,2)="15",LEFT(TH!M831,2)="15"),TK!$E$7=TH!F831),"x","")</f>
        <v/>
      </c>
      <c r="AA831" s="55" t="str">
        <f>IF(AND(B831&lt;=NKC!$N$8,B831&gt;=NKC!$M$8),"x","")</f>
        <v/>
      </c>
    </row>
    <row r="832" spans="1:29" s="689" customFormat="1" ht="15.75" customHeight="1">
      <c r="A832" s="219" t="str">
        <f>IF(B832&lt;&gt;"",IF(AND(B832&gt;=_TM1,B832&lt;=_TM2,OR(TH!L832="1111",TH!M832="1111")),TH!D832,""),"")</f>
        <v/>
      </c>
      <c r="B832" s="36">
        <f t="shared" si="35"/>
        <v>9</v>
      </c>
      <c r="C832" s="37">
        <v>41181</v>
      </c>
      <c r="D832" s="195" t="s">
        <v>405</v>
      </c>
      <c r="E832" s="195">
        <v>41181</v>
      </c>
      <c r="F832" s="203" t="s">
        <v>865</v>
      </c>
      <c r="G832" s="577" t="s">
        <v>401</v>
      </c>
      <c r="H832" s="207"/>
      <c r="I832" s="277"/>
      <c r="J832" s="277"/>
      <c r="K832" s="698">
        <v>10000</v>
      </c>
      <c r="L832" s="891" t="s">
        <v>87</v>
      </c>
      <c r="M832" s="891" t="s">
        <v>24</v>
      </c>
      <c r="N832" s="55" t="str">
        <f>IF(AND('331-CT'!$E$7=TH!H832,OR(L832="331",M832="331")),"x","")</f>
        <v/>
      </c>
      <c r="O832" s="55" t="str">
        <f>IF(AND($B832&gt;='111'!$N$11,$B832&lt;='111'!$O$11,OR($L832=$O$7,$M832=$O$7)),"x","")</f>
        <v/>
      </c>
      <c r="P832" s="55" t="str">
        <f>IF(AND($L832=$O$7,$B832&lt;'111'!$N$11),"x","")</f>
        <v/>
      </c>
      <c r="Q832" s="55" t="str">
        <f>IF(AND($M832=$O$7,$B832&lt;'111'!$N$11),"x","")</f>
        <v/>
      </c>
      <c r="R832" s="55" t="str">
        <f>IF(ISERROR(FIND('112'!$M$9,G832,1)),"",IF((AND(FIND('112'!$M$9,G832,1)&gt;=1,$B832&gt;='112'!$N$8,$B832&lt;='112'!$O$8,OR($L832='112'!$I$6,$M832='112'!$I$6))),"x",""))</f>
        <v>x</v>
      </c>
      <c r="S832" s="55" t="str">
        <f>IF(ISERROR(FIND('112'!$M$9,G832,1)),"",IF((AND(LEFT(G832,2)=LEFT('112'!$M$9,2),B832&lt;'112'!$N$8,$L832='112'!$I$6)),"x",""))</f>
        <v/>
      </c>
      <c r="T832" s="55" t="str">
        <f>IF(ISERROR(FIND('112'!$M$9,G832,1)),"",IF((AND(RIGHT(G832,2)=RIGHT('112'!$M$9,2),B832&lt;'112'!$N$8,$M832='112'!$I$6)),"x",""))</f>
        <v/>
      </c>
      <c r="U832" s="55" t="str">
        <f>IF(AND('3411-CT'!$F$9=H832,OR(LEFT(L832,3)=$U$7,LEFT(M832,3)=$U$7)),"x","")</f>
        <v/>
      </c>
      <c r="V832" s="55" t="str">
        <f>IF(OR(TH!L832=TH!$V$7,M832=TH!$V$7),"x","")</f>
        <v/>
      </c>
      <c r="W832" s="55" t="str">
        <f>IF(AND(OR(L832="131",M832="131"),H832='131-CT'!$E$7),"x","")</f>
        <v/>
      </c>
      <c r="X832" s="55" t="str">
        <f>IF(AND(B832&gt;='IN-NX'!$P$3,B832&lt;='IN-NX'!$Q$3,'IN-NX'!$D$7=D832,OR(LEFT(TH!L832,2)="15",LEFT(TH!M832,2)="15")),"x","")</f>
        <v/>
      </c>
      <c r="Y832" s="55" t="str">
        <f>IF(AND(OR(LEFT(TH!L832,2)="15",LEFT(TH!M832,2)="15"),'152-CT'!$J$8=TH!F832),"x","")</f>
        <v/>
      </c>
      <c r="Z832" s="55" t="str">
        <f>IF(AND(OR(LEFT(TH!L832,2)="15",LEFT(TH!M832,2)="15"),TK!$E$7=TH!F832),"x","")</f>
        <v/>
      </c>
      <c r="AA832" s="55" t="str">
        <f>IF(AND(B832&lt;=NKC!$N$8,B832&gt;=NKC!$M$8),"x","")</f>
        <v/>
      </c>
    </row>
    <row r="833" spans="1:30" s="689" customFormat="1" ht="15.75" customHeight="1">
      <c r="A833" s="219" t="str">
        <f>IF(B833&lt;&gt;"",IF(AND(B833&gt;=_TM1,B833&lt;=_TM2,OR(TH!L833="1111",TH!M833="1111")),TH!D833,""),"")</f>
        <v>C01</v>
      </c>
      <c r="B833" s="36">
        <f t="shared" si="35"/>
        <v>10</v>
      </c>
      <c r="C833" s="37">
        <v>41184</v>
      </c>
      <c r="D833" s="195" t="s">
        <v>465</v>
      </c>
      <c r="E833" s="195">
        <v>41184</v>
      </c>
      <c r="F833" s="203" t="s">
        <v>451</v>
      </c>
      <c r="G833" s="203" t="s">
        <v>401</v>
      </c>
      <c r="H833" s="207" t="s">
        <v>706</v>
      </c>
      <c r="I833" s="277"/>
      <c r="J833" s="277"/>
      <c r="K833" s="698">
        <v>5000000</v>
      </c>
      <c r="L833" s="891" t="s">
        <v>24</v>
      </c>
      <c r="M833" s="891" t="s">
        <v>49</v>
      </c>
      <c r="N833" s="55" t="str">
        <f>IF(AND('331-CT'!$E$7=TH!H833,OR(L833="331",M833="331")),"x","")</f>
        <v/>
      </c>
      <c r="O833" s="55" t="str">
        <f>IF(AND($B833&gt;='111'!$N$11,$B833&lt;='111'!$O$11,OR($L833=$O$7,$M833=$O$7)),"x","")</f>
        <v>x</v>
      </c>
      <c r="P833" s="55" t="str">
        <f>IF(AND($L833=$O$7,$B833&lt;'111'!$N$11),"x","")</f>
        <v/>
      </c>
      <c r="Q833" s="55" t="str">
        <f>IF(AND($M833=$O$7,$B833&lt;'111'!$N$11),"x","")</f>
        <v/>
      </c>
      <c r="R833" s="55" t="str">
        <f>IF(ISERROR(FIND('112'!$M$9,G833,1)),"",IF((AND(FIND('112'!$M$9,G833,1)&gt;=1,$B833&gt;='112'!$N$8,$B833&lt;='112'!$O$8,OR($L833='112'!$I$6,$M833='112'!$I$6))),"x",""))</f>
        <v/>
      </c>
      <c r="S833" s="55" t="str">
        <f>IF(ISERROR(FIND('112'!$M$9,G833,1)),"",IF((AND(LEFT(G833,2)=LEFT('112'!$M$9,2),B833&lt;'112'!$N$8,$L833='112'!$I$6)),"x",""))</f>
        <v/>
      </c>
      <c r="T833" s="55" t="str">
        <f>IF(ISERROR(FIND('112'!$M$9,G833,1)),"",IF((AND(RIGHT(G833,2)=RIGHT('112'!$M$9,2),B833&lt;'112'!$N$8,$M833='112'!$I$6)),"x",""))</f>
        <v/>
      </c>
      <c r="U833" s="55" t="str">
        <f>IF(AND('3411-CT'!$F$9=H833,OR(LEFT(L833,3)=$U$7,LEFT(M833,3)=$U$7)),"x","")</f>
        <v/>
      </c>
      <c r="V833" s="55" t="str">
        <f>IF(OR(TH!L833=TH!$V$7,M833=TH!$V$7),"x","")</f>
        <v/>
      </c>
      <c r="W833" s="55" t="str">
        <f>IF(AND(OR(L833="131",M833="131"),H833='131-CT'!$E$7),"x","")</f>
        <v/>
      </c>
      <c r="X833" s="55" t="str">
        <f>IF(AND(B833&gt;='IN-NX'!$P$3,B833&lt;='IN-NX'!$Q$3,'IN-NX'!$D$7=D833,OR(LEFT(TH!L833,2)="15",LEFT(TH!M833,2)="15")),"x","")</f>
        <v/>
      </c>
      <c r="Y833" s="55" t="str">
        <f>IF(AND(OR(LEFT(TH!L833,2)="15",LEFT(TH!M833,2)="15"),'152-CT'!$J$8=TH!F833),"x","")</f>
        <v/>
      </c>
      <c r="Z833" s="55" t="str">
        <f>IF(AND(OR(LEFT(TH!L833,2)="15",LEFT(TH!M833,2)="15"),TK!$E$7=TH!F833),"x","")</f>
        <v/>
      </c>
      <c r="AA833" s="55" t="str">
        <f>IF(AND(B833&lt;=NKC!$N$8,B833&gt;=NKC!$M$8),"x","")</f>
        <v/>
      </c>
    </row>
    <row r="834" spans="1:30" s="689" customFormat="1" ht="15.75" customHeight="1">
      <c r="A834" s="219" t="str">
        <f>IF(B834&lt;&gt;"",IF(AND(B834&gt;=_TM1,B834&lt;=_TM2,OR(TH!L834="1111",TH!M834="1111")),TH!D834,""),"")</f>
        <v/>
      </c>
      <c r="B834" s="36">
        <f t="shared" si="35"/>
        <v>10</v>
      </c>
      <c r="C834" s="37">
        <v>41184</v>
      </c>
      <c r="D834" s="205" t="s">
        <v>405</v>
      </c>
      <c r="E834" s="205">
        <v>41184</v>
      </c>
      <c r="F834" s="206" t="s">
        <v>455</v>
      </c>
      <c r="G834" s="833" t="s">
        <v>401</v>
      </c>
      <c r="H834" s="45"/>
      <c r="I834" s="277"/>
      <c r="J834" s="892"/>
      <c r="K834" s="38">
        <v>5000000</v>
      </c>
      <c r="L834" s="208" t="s">
        <v>8</v>
      </c>
      <c r="M834" s="208" t="s">
        <v>24</v>
      </c>
      <c r="N834" s="55" t="str">
        <f>IF(AND('331-CT'!$E$7=TH!H834,OR(L834="331",M834="331")),"x","")</f>
        <v/>
      </c>
      <c r="O834" s="55" t="str">
        <f>IF(AND($B834&gt;='111'!$N$11,$B834&lt;='111'!$O$11,OR($L834=$O$7,$M834=$O$7)),"x","")</f>
        <v/>
      </c>
      <c r="P834" s="55" t="str">
        <f>IF(AND($L834=$O$7,$B834&lt;'111'!$N$11),"x","")</f>
        <v/>
      </c>
      <c r="Q834" s="55" t="str">
        <f>IF(AND($M834=$O$7,$B834&lt;'111'!$N$11),"x","")</f>
        <v/>
      </c>
      <c r="R834" s="55" t="str">
        <f>IF(ISERROR(FIND('112'!$M$9,G834,1)),"",IF((AND(FIND('112'!$M$9,G834,1)&gt;=1,$B834&gt;='112'!$N$8,$B834&lt;='112'!$O$8,OR($L834='112'!$I$6,$M834='112'!$I$6))),"x",""))</f>
        <v/>
      </c>
      <c r="S834" s="55" t="str">
        <f>IF(ISERROR(FIND('112'!$M$9,G834,1)),"",IF((AND(LEFT(G834,2)=LEFT('112'!$M$9,2),B834&lt;'112'!$N$8,$L834='112'!$I$6)),"x",""))</f>
        <v/>
      </c>
      <c r="T834" s="55" t="str">
        <f>IF(ISERROR(FIND('112'!$M$9,G834,1)),"",IF((AND(RIGHT(G834,2)=RIGHT('112'!$M$9,2),B834&lt;'112'!$N$8,$M834='112'!$I$6)),"x",""))</f>
        <v/>
      </c>
      <c r="U834" s="55" t="str">
        <f>IF(AND('3411-CT'!$F$9=H834,OR(LEFT(L834,3)=$U$7,LEFT(M834,3)=$U$7)),"x","")</f>
        <v/>
      </c>
      <c r="V834" s="55" t="str">
        <f>IF(OR(TH!L834=TH!$V$7,M834=TH!$V$7),"x","")</f>
        <v/>
      </c>
      <c r="W834" s="55" t="str">
        <f>IF(AND(OR(L834="131",M834="131"),H834='131-CT'!$E$7),"x","")</f>
        <v/>
      </c>
      <c r="X834" s="55" t="str">
        <f>IF(AND(B834&gt;='IN-NX'!$P$3,B834&lt;='IN-NX'!$Q$3,'IN-NX'!$D$7=D834,OR(LEFT(TH!L834,2)="15",LEFT(TH!M834,2)="15")),"x","")</f>
        <v/>
      </c>
      <c r="Y834" s="55" t="str">
        <f>IF(AND(OR(LEFT(TH!L834,2)="15",LEFT(TH!M834,2)="15"),'152-CT'!$J$8=TH!F834),"x","")</f>
        <v/>
      </c>
      <c r="Z834" s="55" t="str">
        <f>IF(AND(OR(LEFT(TH!L834,2)="15",LEFT(TH!M834,2)="15"),TK!$E$7=TH!F834),"x","")</f>
        <v/>
      </c>
      <c r="AA834" s="55" t="str">
        <f>IF(AND(B834&lt;=NKC!$N$8,B834&gt;=NKC!$M$8),"x","")</f>
        <v/>
      </c>
    </row>
    <row r="835" spans="1:30" s="689" customFormat="1" ht="15.75" customHeight="1">
      <c r="A835" s="219" t="str">
        <f>IF(B835&lt;&gt;"",IF(AND(B835&gt;=_TM1,B835&lt;=_TM2,OR(TH!L835="1111",TH!M835="1111")),TH!D835,""),"")</f>
        <v/>
      </c>
      <c r="B835" s="36">
        <f t="shared" si="35"/>
        <v>10</v>
      </c>
      <c r="C835" s="37">
        <v>41184</v>
      </c>
      <c r="D835" s="37" t="s">
        <v>405</v>
      </c>
      <c r="E835" s="205">
        <v>41184</v>
      </c>
      <c r="F835" s="40" t="s">
        <v>407</v>
      </c>
      <c r="G835" s="40" t="s">
        <v>401</v>
      </c>
      <c r="H835" s="45"/>
      <c r="I835" s="277"/>
      <c r="J835" s="277"/>
      <c r="K835" s="38">
        <v>20000</v>
      </c>
      <c r="L835" s="39" t="s">
        <v>87</v>
      </c>
      <c r="M835" s="39" t="s">
        <v>24</v>
      </c>
      <c r="N835" s="55" t="str">
        <f>IF(AND('331-CT'!$E$7=TH!H835,OR(L835="331",M835="331")),"x","")</f>
        <v/>
      </c>
      <c r="O835" s="55" t="str">
        <f>IF(AND($B835&gt;='111'!$N$11,$B835&lt;='111'!$O$11,OR($L835=$O$7,$M835=$O$7)),"x","")</f>
        <v/>
      </c>
      <c r="P835" s="55" t="str">
        <f>IF(AND($L835=$O$7,$B835&lt;'111'!$N$11),"x","")</f>
        <v/>
      </c>
      <c r="Q835" s="55" t="str">
        <f>IF(AND($M835=$O$7,$B835&lt;'111'!$N$11),"x","")</f>
        <v/>
      </c>
      <c r="R835" s="55" t="str">
        <f>IF(ISERROR(FIND('112'!$M$9,G835,1)),"",IF((AND(FIND('112'!$M$9,G835,1)&gt;=1,$B835&gt;='112'!$N$8,$B835&lt;='112'!$O$8,OR($L835='112'!$I$6,$M835='112'!$I$6))),"x",""))</f>
        <v/>
      </c>
      <c r="S835" s="55" t="str">
        <f>IF(ISERROR(FIND('112'!$M$9,G835,1)),"",IF((AND(LEFT(G835,2)=LEFT('112'!$M$9,2),B835&lt;'112'!$N$8,$L835='112'!$I$6)),"x",""))</f>
        <v/>
      </c>
      <c r="T835" s="55" t="str">
        <f>IF(ISERROR(FIND('112'!$M$9,G835,1)),"",IF((AND(RIGHT(G835,2)=RIGHT('112'!$M$9,2),B835&lt;'112'!$N$8,$M835='112'!$I$6)),"x",""))</f>
        <v/>
      </c>
      <c r="U835" s="55" t="str">
        <f>IF(AND('3411-CT'!$F$9=H835,OR(LEFT(L835,3)=$U$7,LEFT(M835,3)=$U$7)),"x","")</f>
        <v/>
      </c>
      <c r="V835" s="55" t="str">
        <f>IF(OR(TH!L835=TH!$V$7,M835=TH!$V$7),"x","")</f>
        <v/>
      </c>
      <c r="W835" s="55" t="str">
        <f>IF(AND(OR(L835="131",M835="131"),H835='131-CT'!$E$7),"x","")</f>
        <v/>
      </c>
      <c r="X835" s="55" t="str">
        <f>IF(AND(B835&gt;='IN-NX'!$P$3,B835&lt;='IN-NX'!$Q$3,'IN-NX'!$D$7=D835,OR(LEFT(TH!L835,2)="15",LEFT(TH!M835,2)="15")),"x","")</f>
        <v/>
      </c>
      <c r="Y835" s="55" t="str">
        <f>IF(AND(OR(LEFT(TH!L835,2)="15",LEFT(TH!M835,2)="15"),'152-CT'!$J$8=TH!F835),"x","")</f>
        <v/>
      </c>
      <c r="Z835" s="55" t="str">
        <f>IF(AND(OR(LEFT(TH!L835,2)="15",LEFT(TH!M835,2)="15"),TK!$E$7=TH!F835),"x","")</f>
        <v/>
      </c>
      <c r="AA835" s="55" t="str">
        <f>IF(AND(B835&lt;=NKC!$N$8,B835&gt;=NKC!$M$8),"x","")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35"/>
        <v>10</v>
      </c>
      <c r="C836" s="37">
        <v>41184</v>
      </c>
      <c r="D836" s="37" t="s">
        <v>405</v>
      </c>
      <c r="E836" s="205">
        <v>41184</v>
      </c>
      <c r="F836" s="40" t="s">
        <v>865</v>
      </c>
      <c r="G836" s="40" t="s">
        <v>401</v>
      </c>
      <c r="H836" s="45"/>
      <c r="I836" s="277"/>
      <c r="J836" s="277"/>
      <c r="K836" s="38">
        <v>10000</v>
      </c>
      <c r="L836" s="39" t="s">
        <v>87</v>
      </c>
      <c r="M836" s="39" t="s">
        <v>24</v>
      </c>
      <c r="N836" s="55" t="str">
        <f>IF(AND('331-CT'!$E$7=TH!H836,OR(L836="331",M836="331")),"x","")</f>
        <v/>
      </c>
      <c r="O836" s="55" t="str">
        <f>IF(AND($B836&gt;='111'!$N$11,$B836&lt;='111'!$O$11,OR($L836=$O$7,$M836=$O$7)),"x","")</f>
        <v/>
      </c>
      <c r="P836" s="55" t="str">
        <f>IF(AND($L836=$O$7,$B836&lt;'111'!$N$11),"x","")</f>
        <v/>
      </c>
      <c r="Q836" s="55" t="str">
        <f>IF(AND($M836=$O$7,$B836&lt;'111'!$N$11),"x","")</f>
        <v/>
      </c>
      <c r="R836" s="55" t="str">
        <f>IF(ISERROR(FIND('112'!$M$9,G836,1)),"",IF((AND(FIND('112'!$M$9,G836,1)&gt;=1,$B836&gt;='112'!$N$8,$B836&lt;='112'!$O$8,OR($L836='112'!$I$6,$M836='112'!$I$6))),"x",""))</f>
        <v/>
      </c>
      <c r="S836" s="55" t="str">
        <f>IF(ISERROR(FIND('112'!$M$9,G836,1)),"",IF((AND(LEFT(G836,2)=LEFT('112'!$M$9,2),B836&lt;'112'!$N$8,$L836='112'!$I$6)),"x",""))</f>
        <v/>
      </c>
      <c r="T836" s="55" t="str">
        <f>IF(ISERROR(FIND('112'!$M$9,G836,1)),"",IF((AND(RIGHT(G836,2)=RIGHT('112'!$M$9,2),B836&lt;'112'!$N$8,$M836='112'!$I$6)),"x",""))</f>
        <v/>
      </c>
      <c r="U836" s="55" t="str">
        <f>IF(AND('3411-CT'!$F$9=H836,OR(LEFT(L836,3)=$U$7,LEFT(M836,3)=$U$7)),"x","")</f>
        <v/>
      </c>
      <c r="V836" s="55" t="str">
        <f>IF(OR(TH!L836=TH!$V$7,M836=TH!$V$7),"x","")</f>
        <v/>
      </c>
      <c r="W836" s="55" t="str">
        <f>IF(AND(OR(L836="131",M836="131"),H836='131-CT'!$E$7),"x","")</f>
        <v/>
      </c>
      <c r="X836" s="55" t="str">
        <f>IF(AND(B836&gt;='IN-NX'!$P$3,B836&lt;='IN-NX'!$Q$3,'IN-NX'!$D$7=D836,OR(LEFT(TH!L836,2)="15",LEFT(TH!M836,2)="15")),"x","")</f>
        <v/>
      </c>
      <c r="Y836" s="55" t="str">
        <f>IF(AND(OR(LEFT(TH!L836,2)="15",LEFT(TH!M836,2)="15"),'152-CT'!$J$8=TH!F836),"x","")</f>
        <v/>
      </c>
      <c r="Z836" s="55" t="str">
        <f>IF(AND(OR(LEFT(TH!L836,2)="15",LEFT(TH!M836,2)="15"),TK!$E$7=TH!F836),"x","")</f>
        <v/>
      </c>
      <c r="AA836" s="55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>
        <f t="shared" ref="B837:B848" si="36">IF(C837&lt;&gt;"",MONTH(C837),"")</f>
        <v>10</v>
      </c>
      <c r="C837" s="37">
        <v>41185</v>
      </c>
      <c r="D837" s="205" t="s">
        <v>513</v>
      </c>
      <c r="E837" s="205">
        <v>41185</v>
      </c>
      <c r="F837" s="40" t="s">
        <v>1059</v>
      </c>
      <c r="G837" s="40" t="s">
        <v>1065</v>
      </c>
      <c r="H837" s="7" t="s">
        <v>487</v>
      </c>
      <c r="I837" s="277">
        <v>3000</v>
      </c>
      <c r="J837" s="277">
        <v>19979</v>
      </c>
      <c r="K837" s="38">
        <v>59937000</v>
      </c>
      <c r="L837" s="39" t="s">
        <v>186</v>
      </c>
      <c r="M837" s="699" t="s">
        <v>8</v>
      </c>
      <c r="N837" s="55" t="str">
        <f>IF(AND('331-CT'!$E$7=TH!H837,OR(L837="331",M837="331")),"x","")</f>
        <v/>
      </c>
      <c r="O837" s="55" t="str">
        <f>IF(AND($B837&gt;='111'!$N$11,$B837&lt;='111'!$O$11,OR($L837=$O$7,$M837=$O$7)),"x","")</f>
        <v/>
      </c>
      <c r="P837" s="55" t="str">
        <f>IF(AND($L837=$O$7,$B837&lt;'111'!$N$11),"x","")</f>
        <v/>
      </c>
      <c r="Q837" s="55" t="str">
        <f>IF(AND($M837=$O$7,$B837&lt;'111'!$N$11),"x","")</f>
        <v/>
      </c>
      <c r="R837" s="55" t="str">
        <f>IF(ISERROR(FIND('112'!$M$9,G837,1)),"",IF((AND(FIND('112'!$M$9,G837,1)&gt;=1,$B837&gt;='112'!$N$8,$B837&lt;='112'!$O$8,OR($L837='112'!$I$6,$M837='112'!$I$6))),"x",""))</f>
        <v/>
      </c>
      <c r="S837" s="55" t="str">
        <f>IF(ISERROR(FIND('112'!$M$9,G837,1)),"",IF((AND(LEFT(G837,2)=LEFT('112'!$M$9,2),B837&lt;'112'!$N$8,$L837='112'!$I$6)),"x",""))</f>
        <v/>
      </c>
      <c r="T837" s="55" t="str">
        <f>IF(ISERROR(FIND('112'!$M$9,G837,1)),"",IF((AND(RIGHT(G837,2)=RIGHT('112'!$M$9,2),B837&lt;'112'!$N$8,$M837='112'!$I$6)),"x",""))</f>
        <v/>
      </c>
      <c r="U837" s="55" t="str">
        <f>IF(AND('3411-CT'!$F$9=H837,OR(LEFT(L837,3)=$U$7,LEFT(M837,3)=$U$7)),"x","")</f>
        <v/>
      </c>
      <c r="V837" s="55" t="str">
        <f>IF(OR(TH!L837=TH!$V$7,M837=TH!$V$7),"x","")</f>
        <v/>
      </c>
      <c r="W837" s="55" t="str">
        <f>IF(AND(OR(L837="131",M837="131"),H837='131-CT'!$E$7),"x","")</f>
        <v/>
      </c>
      <c r="X837" s="55" t="str">
        <f>IF(AND(B837&gt;='IN-NX'!$P$3,B837&lt;='IN-NX'!$Q$3,'IN-NX'!$D$7=D837,OR(LEFT(TH!L837,2)="15",LEFT(TH!M837,2)="15")),"x","")</f>
        <v/>
      </c>
      <c r="Y837" s="55" t="str">
        <f>IF(AND(OR(LEFT(TH!L837,2)="15",LEFT(TH!M837,2)="15"),'152-CT'!$J$8=TH!F837),"x","")</f>
        <v/>
      </c>
      <c r="Z837" s="55" t="str">
        <f>IF(AND(OR(LEFT(TH!L837,2)="15",LEFT(TH!M837,2)="15"),TK!$E$7=TH!F837),"x","")</f>
        <v/>
      </c>
      <c r="AA837" s="55" t="str">
        <f>IF(AND(B837&lt;=NKC!$N$8,B837&gt;=NKC!$M$8),"x","")</f>
        <v/>
      </c>
      <c r="AC837" s="226" t="str">
        <f>IF(ISNA(VLOOKUP(F837,NXT!$C$18:$C$347,1,0)),x,"")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36"/>
        <v>10</v>
      </c>
      <c r="C838" s="37">
        <v>41185</v>
      </c>
      <c r="D838" s="205" t="s">
        <v>513</v>
      </c>
      <c r="E838" s="205">
        <v>41185</v>
      </c>
      <c r="F838" s="40" t="s">
        <v>573</v>
      </c>
      <c r="G838" s="40" t="s">
        <v>1065</v>
      </c>
      <c r="H838" s="7" t="s">
        <v>487</v>
      </c>
      <c r="I838" s="277"/>
      <c r="J838" s="277"/>
      <c r="K838" s="38">
        <v>5993700</v>
      </c>
      <c r="L838" s="39" t="s">
        <v>9</v>
      </c>
      <c r="M838" s="699" t="s">
        <v>8</v>
      </c>
      <c r="N838" s="55" t="str">
        <f>IF(AND('331-CT'!$E$7=TH!H838,OR(L838="331",M838="331")),"x","")</f>
        <v/>
      </c>
      <c r="O838" s="55" t="str">
        <f>IF(AND($B838&gt;='111'!$N$11,$B838&lt;='111'!$O$11,OR($L838=$O$7,$M838=$O$7)),"x","")</f>
        <v/>
      </c>
      <c r="P838" s="55" t="str">
        <f>IF(AND($L838=$O$7,$B838&lt;'111'!$N$11),"x","")</f>
        <v/>
      </c>
      <c r="Q838" s="55" t="str">
        <f>IF(AND($M838=$O$7,$B838&lt;'111'!$N$11),"x","")</f>
        <v/>
      </c>
      <c r="R838" s="55" t="str">
        <f>IF(ISERROR(FIND('112'!$M$9,G838,1)),"",IF((AND(FIND('112'!$M$9,G838,1)&gt;=1,$B838&gt;='112'!$N$8,$B838&lt;='112'!$O$8,OR($L838='112'!$I$6,$M838='112'!$I$6))),"x",""))</f>
        <v/>
      </c>
      <c r="S838" s="55" t="str">
        <f>IF(ISERROR(FIND('112'!$M$9,G838,1)),"",IF((AND(LEFT(G838,2)=LEFT('112'!$M$9,2),B838&lt;'112'!$N$8,$L838='112'!$I$6)),"x",""))</f>
        <v/>
      </c>
      <c r="T838" s="55" t="str">
        <f>IF(ISERROR(FIND('112'!$M$9,G838,1)),"",IF((AND(RIGHT(G838,2)=RIGHT('112'!$M$9,2),B838&lt;'112'!$N$8,$M838='112'!$I$6)),"x",""))</f>
        <v/>
      </c>
      <c r="U838" s="55" t="str">
        <f>IF(AND('3411-CT'!$F$9=H838,OR(LEFT(L838,3)=$U$7,LEFT(M838,3)=$U$7)),"x","")</f>
        <v/>
      </c>
      <c r="V838" s="55" t="str">
        <f>IF(OR(TH!L838=TH!$V$7,M838=TH!$V$7),"x","")</f>
        <v/>
      </c>
      <c r="W838" s="55" t="str">
        <f>IF(AND(OR(L838="131",M838="131"),H838='131-CT'!$E$7),"x","")</f>
        <v/>
      </c>
      <c r="X838" s="55" t="str">
        <f>IF(AND(B838&gt;='IN-NX'!$P$3,B838&lt;='IN-NX'!$Q$3,'IN-NX'!$D$7=D838,OR(LEFT(TH!L838,2)="15",LEFT(TH!M838,2)="15")),"x","")</f>
        <v/>
      </c>
      <c r="Y838" s="55" t="str">
        <f>IF(AND(OR(LEFT(TH!L838,2)="15",LEFT(TH!M838,2)="15"),'152-CT'!$J$8=TH!F838),"x","")</f>
        <v/>
      </c>
      <c r="Z838" s="55" t="str">
        <f>IF(AND(OR(LEFT(TH!L838,2)="15",LEFT(TH!M838,2)="15"),TK!$E$7=TH!F838),"x","")</f>
        <v/>
      </c>
      <c r="AA838" s="55" t="str">
        <f>IF(AND(B838&lt;=NKC!$N$8,B838&gt;=NKC!$M$8),"x","")</f>
        <v/>
      </c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36"/>
        <v>10</v>
      </c>
      <c r="C839" s="37">
        <v>41187</v>
      </c>
      <c r="D839" s="37" t="s">
        <v>404</v>
      </c>
      <c r="E839" s="37">
        <v>41187</v>
      </c>
      <c r="F839" s="40" t="s">
        <v>406</v>
      </c>
      <c r="G839" s="40" t="s">
        <v>401</v>
      </c>
      <c r="H839" s="7" t="s">
        <v>1131</v>
      </c>
      <c r="I839" s="277"/>
      <c r="J839" s="277"/>
      <c r="K839" s="38">
        <v>12277760</v>
      </c>
      <c r="L839" s="39" t="s">
        <v>24</v>
      </c>
      <c r="M839" s="39" t="s">
        <v>311</v>
      </c>
      <c r="N839" s="55" t="str">
        <f>IF(AND('331-CT'!$E$7=TH!H839,OR(L839="331",M839="331")),"x","")</f>
        <v/>
      </c>
      <c r="O839" s="55" t="str">
        <f>IF(AND($B839&gt;='111'!$N$11,$B839&lt;='111'!$O$11,OR($L839=$O$7,$M839=$O$7)),"x","")</f>
        <v/>
      </c>
      <c r="P839" s="55" t="str">
        <f>IF(AND($L839=$O$7,$B839&lt;'111'!$N$11),"x","")</f>
        <v/>
      </c>
      <c r="Q839" s="55" t="str">
        <f>IF(AND($M839=$O$7,$B839&lt;'111'!$N$11),"x","")</f>
        <v/>
      </c>
      <c r="R839" s="55" t="str">
        <f>IF(ISERROR(FIND('112'!$M$9,G839,1)),"",IF((AND(FIND('112'!$M$9,G839,1)&gt;=1,$B839&gt;='112'!$N$8,$B839&lt;='112'!$O$8,OR($L839='112'!$I$6,$M839='112'!$I$6))),"x",""))</f>
        <v/>
      </c>
      <c r="S839" s="55" t="str">
        <f>IF(ISERROR(FIND('112'!$M$9,G839,1)),"",IF((AND(LEFT(G839,2)=LEFT('112'!$M$9,2),B839&lt;'112'!$N$8,$L839='112'!$I$6)),"x",""))</f>
        <v/>
      </c>
      <c r="T839" s="55" t="str">
        <f>IF(ISERROR(FIND('112'!$M$9,G839,1)),"",IF((AND(RIGHT(G839,2)=RIGHT('112'!$M$9,2),B839&lt;'112'!$N$8,$M839='112'!$I$6)),"x",""))</f>
        <v/>
      </c>
      <c r="U839" s="55" t="str">
        <f>IF(AND('3411-CT'!$F$9=H839,OR(LEFT(L839,3)=$U$7,LEFT(M839,3)=$U$7)),"x","")</f>
        <v/>
      </c>
      <c r="V839" s="55" t="str">
        <f>IF(OR(TH!L839=TH!$V$7,M839=TH!$V$7),"x","")</f>
        <v/>
      </c>
      <c r="W839" s="55" t="str">
        <f>IF(AND(OR(L839="131",M839="131"),H839='131-CT'!$E$7),"x","")</f>
        <v/>
      </c>
      <c r="X839" s="55" t="str">
        <f>IF(AND(B839&gt;='IN-NX'!$P$3,B839&lt;='IN-NX'!$Q$3,'IN-NX'!$D$7=D839,OR(LEFT(TH!L839,2)="15",LEFT(TH!M839,2)="15")),"x","")</f>
        <v/>
      </c>
      <c r="Y839" s="55" t="str">
        <f>IF(AND(OR(LEFT(TH!L839,2)="15",LEFT(TH!M839,2)="15"),'152-CT'!$J$8=TH!F839),"x","")</f>
        <v/>
      </c>
      <c r="Z839" s="55" t="str">
        <f>IF(AND(OR(LEFT(TH!L839,2)="15",LEFT(TH!M839,2)="15"),TK!$E$7=TH!F839),"x","")</f>
        <v/>
      </c>
      <c r="AA839" s="55" t="str">
        <f>IF(AND(B839&lt;=NKC!$N$8,B839&gt;=NKC!$M$8),"x","")</f>
        <v/>
      </c>
      <c r="AD839" s="689"/>
    </row>
    <row r="840" spans="1:30" s="226" customFormat="1" ht="15.75" customHeight="1">
      <c r="A840" s="219" t="str">
        <f>IF(B840&lt;&gt;"",IF(AND(B840&gt;=_TM1,B840&lt;=_TM2,OR(TH!L840="1111",TH!M840="1111")),TH!D840,""),"")</f>
        <v>C02</v>
      </c>
      <c r="B840" s="36">
        <f t="shared" si="36"/>
        <v>10</v>
      </c>
      <c r="C840" s="37">
        <v>41191</v>
      </c>
      <c r="D840" s="37" t="s">
        <v>466</v>
      </c>
      <c r="E840" s="37">
        <v>41191</v>
      </c>
      <c r="F840" s="40" t="s">
        <v>451</v>
      </c>
      <c r="G840" s="580" t="s">
        <v>401</v>
      </c>
      <c r="H840" s="45" t="s">
        <v>706</v>
      </c>
      <c r="I840" s="277"/>
      <c r="J840" s="277"/>
      <c r="K840" s="38">
        <v>48000000</v>
      </c>
      <c r="L840" s="39" t="s">
        <v>24</v>
      </c>
      <c r="M840" s="39" t="s">
        <v>49</v>
      </c>
      <c r="N840" s="55" t="str">
        <f>IF(AND('331-CT'!$E$7=TH!H840,OR(L840="331",M840="331")),"x","")</f>
        <v/>
      </c>
      <c r="O840" s="55" t="str">
        <f>IF(AND($B840&gt;='111'!$N$11,$B840&lt;='111'!$O$11,OR($L840=$O$7,$M840=$O$7)),"x","")</f>
        <v>x</v>
      </c>
      <c r="P840" s="55" t="str">
        <f>IF(AND($L840=$O$7,$B840&lt;'111'!$N$11),"x","")</f>
        <v/>
      </c>
      <c r="Q840" s="55" t="str">
        <f>IF(AND($M840=$O$7,$B840&lt;'111'!$N$11),"x","")</f>
        <v/>
      </c>
      <c r="R840" s="55" t="str">
        <f>IF(ISERROR(FIND('112'!$M$9,G840,1)),"",IF((AND(FIND('112'!$M$9,G840,1)&gt;=1,$B840&gt;='112'!$N$8,$B840&lt;='112'!$O$8,OR($L840='112'!$I$6,$M840='112'!$I$6))),"x",""))</f>
        <v/>
      </c>
      <c r="S840" s="55" t="str">
        <f>IF(ISERROR(FIND('112'!$M$9,G840,1)),"",IF((AND(LEFT(G840,2)=LEFT('112'!$M$9,2),B840&lt;'112'!$N$8,$L840='112'!$I$6)),"x",""))</f>
        <v/>
      </c>
      <c r="T840" s="55" t="str">
        <f>IF(ISERROR(FIND('112'!$M$9,G840,1)),"",IF((AND(RIGHT(G840,2)=RIGHT('112'!$M$9,2),B840&lt;'112'!$N$8,$M840='112'!$I$6)),"x",""))</f>
        <v/>
      </c>
      <c r="U840" s="55" t="str">
        <f>IF(AND('3411-CT'!$F$9=H840,OR(LEFT(L840,3)=$U$7,LEFT(M840,3)=$U$7)),"x","")</f>
        <v/>
      </c>
      <c r="V840" s="55" t="str">
        <f>IF(OR(TH!L840=TH!$V$7,M840=TH!$V$7),"x","")</f>
        <v/>
      </c>
      <c r="W840" s="55" t="str">
        <f>IF(AND(OR(L840="131",M840="131"),H840='131-CT'!$E$7),"x","")</f>
        <v/>
      </c>
      <c r="X840" s="55" t="str">
        <f>IF(AND(B840&gt;='IN-NX'!$P$3,B840&lt;='IN-NX'!$Q$3,'IN-NX'!$D$7=D840,OR(LEFT(TH!L840,2)="15",LEFT(TH!M840,2)="15")),"x","")</f>
        <v/>
      </c>
      <c r="Y840" s="55" t="str">
        <f>IF(AND(OR(LEFT(TH!L840,2)="15",LEFT(TH!M840,2)="15"),'152-CT'!$J$8=TH!F840),"x","")</f>
        <v/>
      </c>
      <c r="Z840" s="55" t="str">
        <f>IF(AND(OR(LEFT(TH!L840,2)="15",LEFT(TH!M840,2)="15"),TK!$E$7=TH!F840),"x","")</f>
        <v/>
      </c>
      <c r="AA840" s="55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36"/>
        <v>10</v>
      </c>
      <c r="C841" s="37">
        <v>41191</v>
      </c>
      <c r="D841" s="37" t="s">
        <v>404</v>
      </c>
      <c r="E841" s="37">
        <v>41191</v>
      </c>
      <c r="F841" s="40" t="s">
        <v>406</v>
      </c>
      <c r="G841" s="580" t="s">
        <v>401</v>
      </c>
      <c r="H841" s="45" t="s">
        <v>1136</v>
      </c>
      <c r="I841" s="277"/>
      <c r="J841" s="277"/>
      <c r="K841" s="38">
        <v>7747740</v>
      </c>
      <c r="L841" s="39" t="s">
        <v>24</v>
      </c>
      <c r="M841" s="39" t="s">
        <v>311</v>
      </c>
      <c r="N841" s="55" t="str">
        <f>IF(AND('331-CT'!$E$7=TH!H841,OR(L841="331",M841="331")),"x","")</f>
        <v/>
      </c>
      <c r="O841" s="55" t="str">
        <f>IF(AND($B841&gt;='111'!$N$11,$B841&lt;='111'!$O$11,OR($L841=$O$7,$M841=$O$7)),"x","")</f>
        <v/>
      </c>
      <c r="P841" s="55" t="str">
        <f>IF(AND($L841=$O$7,$B841&lt;'111'!$N$11),"x","")</f>
        <v/>
      </c>
      <c r="Q841" s="55" t="str">
        <f>IF(AND($M841=$O$7,$B841&lt;'111'!$N$11),"x","")</f>
        <v/>
      </c>
      <c r="R841" s="55" t="str">
        <f>IF(ISERROR(FIND('112'!$M$9,G841,1)),"",IF((AND(FIND('112'!$M$9,G841,1)&gt;=1,$B841&gt;='112'!$N$8,$B841&lt;='112'!$O$8,OR($L841='112'!$I$6,$M841='112'!$I$6))),"x",""))</f>
        <v/>
      </c>
      <c r="S841" s="55" t="str">
        <f>IF(ISERROR(FIND('112'!$M$9,G841,1)),"",IF((AND(LEFT(G841,2)=LEFT('112'!$M$9,2),B841&lt;'112'!$N$8,$L841='112'!$I$6)),"x",""))</f>
        <v/>
      </c>
      <c r="T841" s="55" t="str">
        <f>IF(ISERROR(FIND('112'!$M$9,G841,1)),"",IF((AND(RIGHT(G841,2)=RIGHT('112'!$M$9,2),B841&lt;'112'!$N$8,$M841='112'!$I$6)),"x",""))</f>
        <v/>
      </c>
      <c r="U841" s="55" t="str">
        <f>IF(AND('3411-CT'!$F$9=H841,OR(LEFT(L841,3)=$U$7,LEFT(M841,3)=$U$7)),"x","")</f>
        <v/>
      </c>
      <c r="V841" s="55" t="str">
        <f>IF(OR(TH!L841=TH!$V$7,M841=TH!$V$7),"x","")</f>
        <v/>
      </c>
      <c r="W841" s="55" t="str">
        <f>IF(AND(OR(L841="131",M841="131"),H841='131-CT'!$E$7),"x","")</f>
        <v/>
      </c>
      <c r="X841" s="55" t="str">
        <f>IF(AND(B841&gt;='IN-NX'!$P$3,B841&lt;='IN-NX'!$Q$3,'IN-NX'!$D$7=D841,OR(LEFT(TH!L841,2)="15",LEFT(TH!M841,2)="15")),"x","")</f>
        <v/>
      </c>
      <c r="Y841" s="55" t="str">
        <f>IF(AND(OR(LEFT(TH!L841,2)="15",LEFT(TH!M841,2)="15"),'152-CT'!$J$8=TH!F841),"x","")</f>
        <v/>
      </c>
      <c r="Z841" s="55" t="str">
        <f>IF(AND(OR(LEFT(TH!L841,2)="15",LEFT(TH!M841,2)="15"),TK!$E$7=TH!F841),"x","")</f>
        <v/>
      </c>
      <c r="AA841" s="55" t="str">
        <f>IF(AND(B841&lt;=NKC!$N$8,B841&gt;=NKC!$M$8),"x","")</f>
        <v/>
      </c>
      <c r="AD841" s="689"/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36"/>
        <v>10</v>
      </c>
      <c r="C842" s="37">
        <v>41191</v>
      </c>
      <c r="D842" s="37" t="s">
        <v>405</v>
      </c>
      <c r="E842" s="37">
        <v>41191</v>
      </c>
      <c r="F842" s="40" t="s">
        <v>455</v>
      </c>
      <c r="G842" s="580" t="s">
        <v>401</v>
      </c>
      <c r="H842" s="45"/>
      <c r="I842" s="277"/>
      <c r="J842" s="277"/>
      <c r="K842" s="38">
        <v>50000000</v>
      </c>
      <c r="L842" s="39" t="s">
        <v>8</v>
      </c>
      <c r="M842" s="39" t="s">
        <v>24</v>
      </c>
      <c r="N842" s="55" t="str">
        <f>IF(AND('331-CT'!$E$7=TH!H842,OR(L842="331",M842="331")),"x","")</f>
        <v/>
      </c>
      <c r="O842" s="55" t="str">
        <f>IF(AND($B842&gt;='111'!$N$11,$B842&lt;='111'!$O$11,OR($L842=$O$7,$M842=$O$7)),"x","")</f>
        <v/>
      </c>
      <c r="P842" s="55" t="str">
        <f>IF(AND($L842=$O$7,$B842&lt;'111'!$N$11),"x","")</f>
        <v/>
      </c>
      <c r="Q842" s="55" t="str">
        <f>IF(AND($M842=$O$7,$B842&lt;'111'!$N$11),"x","")</f>
        <v/>
      </c>
      <c r="R842" s="55" t="str">
        <f>IF(ISERROR(FIND('112'!$M$9,G842,1)),"",IF((AND(FIND('112'!$M$9,G842,1)&gt;=1,$B842&gt;='112'!$N$8,$B842&lt;='112'!$O$8,OR($L842='112'!$I$6,$M842='112'!$I$6))),"x",""))</f>
        <v/>
      </c>
      <c r="S842" s="55" t="str">
        <f>IF(ISERROR(FIND('112'!$M$9,G842,1)),"",IF((AND(LEFT(G842,2)=LEFT('112'!$M$9,2),B842&lt;'112'!$N$8,$L842='112'!$I$6)),"x",""))</f>
        <v/>
      </c>
      <c r="T842" s="55" t="str">
        <f>IF(ISERROR(FIND('112'!$M$9,G842,1)),"",IF((AND(RIGHT(G842,2)=RIGHT('112'!$M$9,2),B842&lt;'112'!$N$8,$M842='112'!$I$6)),"x",""))</f>
        <v/>
      </c>
      <c r="U842" s="55" t="str">
        <f>IF(AND('3411-CT'!$F$9=H842,OR(LEFT(L842,3)=$U$7,LEFT(M842,3)=$U$7)),"x","")</f>
        <v/>
      </c>
      <c r="V842" s="55" t="str">
        <f>IF(OR(TH!L842=TH!$V$7,M842=TH!$V$7),"x","")</f>
        <v/>
      </c>
      <c r="W842" s="55" t="str">
        <f>IF(AND(OR(L842="131",M842="131"),H842='131-CT'!$E$7),"x","")</f>
        <v/>
      </c>
      <c r="X842" s="55" t="str">
        <f>IF(AND(B842&gt;='IN-NX'!$P$3,B842&lt;='IN-NX'!$Q$3,'IN-NX'!$D$7=D842,OR(LEFT(TH!L842,2)="15",LEFT(TH!M842,2)="15")),"x","")</f>
        <v/>
      </c>
      <c r="Y842" s="55" t="str">
        <f>IF(AND(OR(LEFT(TH!L842,2)="15",LEFT(TH!M842,2)="15"),'152-CT'!$J$8=TH!F842),"x","")</f>
        <v/>
      </c>
      <c r="Z842" s="55" t="str">
        <f>IF(AND(OR(LEFT(TH!L842,2)="15",LEFT(TH!M842,2)="15"),TK!$E$7=TH!F842),"x","")</f>
        <v/>
      </c>
      <c r="AA842" s="55" t="str">
        <f>IF(AND(B842&lt;=NKC!$N$8,B842&gt;=NKC!$M$8),"x","")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36"/>
        <v>10</v>
      </c>
      <c r="C843" s="37">
        <v>41191</v>
      </c>
      <c r="D843" s="37" t="s">
        <v>405</v>
      </c>
      <c r="E843" s="37">
        <v>41191</v>
      </c>
      <c r="F843" s="40" t="s">
        <v>407</v>
      </c>
      <c r="G843" s="580" t="s">
        <v>401</v>
      </c>
      <c r="H843" s="45"/>
      <c r="I843" s="277"/>
      <c r="J843" s="277"/>
      <c r="K843" s="38">
        <v>25000</v>
      </c>
      <c r="L843" s="39" t="s">
        <v>87</v>
      </c>
      <c r="M843" s="39" t="s">
        <v>24</v>
      </c>
      <c r="N843" s="55" t="str">
        <f>IF(AND('331-CT'!$E$7=TH!H843,OR(L843="331",M843="331")),"x","")</f>
        <v/>
      </c>
      <c r="O843" s="55" t="str">
        <f>IF(AND($B843&gt;='111'!$N$11,$B843&lt;='111'!$O$11,OR($L843=$O$7,$M843=$O$7)),"x","")</f>
        <v/>
      </c>
      <c r="P843" s="55" t="str">
        <f>IF(AND($L843=$O$7,$B843&lt;'111'!$N$11),"x","")</f>
        <v/>
      </c>
      <c r="Q843" s="55" t="str">
        <f>IF(AND($M843=$O$7,$B843&lt;'111'!$N$11),"x","")</f>
        <v/>
      </c>
      <c r="R843" s="55" t="str">
        <f>IF(ISERROR(FIND('112'!$M$9,G843,1)),"",IF((AND(FIND('112'!$M$9,G843,1)&gt;=1,$B843&gt;='112'!$N$8,$B843&lt;='112'!$O$8,OR($L843='112'!$I$6,$M843='112'!$I$6))),"x",""))</f>
        <v/>
      </c>
      <c r="S843" s="55" t="str">
        <f>IF(ISERROR(FIND('112'!$M$9,G843,1)),"",IF((AND(LEFT(G843,2)=LEFT('112'!$M$9,2),B843&lt;'112'!$N$8,$L843='112'!$I$6)),"x",""))</f>
        <v/>
      </c>
      <c r="T843" s="55" t="str">
        <f>IF(ISERROR(FIND('112'!$M$9,G843,1)),"",IF((AND(RIGHT(G843,2)=RIGHT('112'!$M$9,2),B843&lt;'112'!$N$8,$M843='112'!$I$6)),"x",""))</f>
        <v/>
      </c>
      <c r="U843" s="55" t="str">
        <f>IF(AND('3411-CT'!$F$9=H843,OR(LEFT(L843,3)=$U$7,LEFT(M843,3)=$U$7)),"x","")</f>
        <v/>
      </c>
      <c r="V843" s="55" t="str">
        <f>IF(OR(TH!L843=TH!$V$7,M843=TH!$V$7),"x","")</f>
        <v/>
      </c>
      <c r="W843" s="55" t="str">
        <f>IF(AND(OR(L843="131",M843="131"),H843='131-CT'!$E$7),"x","")</f>
        <v/>
      </c>
      <c r="X843" s="55" t="str">
        <f>IF(AND(B843&gt;='IN-NX'!$P$3,B843&lt;='IN-NX'!$Q$3,'IN-NX'!$D$7=D843,OR(LEFT(TH!L843,2)="15",LEFT(TH!M843,2)="15")),"x","")</f>
        <v/>
      </c>
      <c r="Y843" s="55" t="str">
        <f>IF(AND(OR(LEFT(TH!L843,2)="15",LEFT(TH!M843,2)="15"),'152-CT'!$J$8=TH!F843),"x","")</f>
        <v/>
      </c>
      <c r="Z843" s="55" t="str">
        <f>IF(AND(OR(LEFT(TH!L843,2)="15",LEFT(TH!M843,2)="15"),TK!$E$7=TH!F843),"x","")</f>
        <v/>
      </c>
      <c r="AA843" s="55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36"/>
        <v>10</v>
      </c>
      <c r="C844" s="37">
        <v>41191</v>
      </c>
      <c r="D844" s="37" t="s">
        <v>405</v>
      </c>
      <c r="E844" s="37">
        <v>41191</v>
      </c>
      <c r="F844" s="40" t="s">
        <v>455</v>
      </c>
      <c r="G844" s="580" t="s">
        <v>401</v>
      </c>
      <c r="H844" s="45"/>
      <c r="I844" s="277"/>
      <c r="J844" s="277"/>
      <c r="K844" s="38">
        <v>10000000</v>
      </c>
      <c r="L844" s="39" t="s">
        <v>8</v>
      </c>
      <c r="M844" s="39" t="s">
        <v>24</v>
      </c>
      <c r="N844" s="55" t="str">
        <f>IF(AND('331-CT'!$E$7=TH!H844,OR(L844="331",M844="331")),"x","")</f>
        <v/>
      </c>
      <c r="O844" s="55" t="str">
        <f>IF(AND($B844&gt;='111'!$N$11,$B844&lt;='111'!$O$11,OR($L844=$O$7,$M844=$O$7)),"x","")</f>
        <v/>
      </c>
      <c r="P844" s="55" t="str">
        <f>IF(AND($L844=$O$7,$B844&lt;'111'!$N$11),"x","")</f>
        <v/>
      </c>
      <c r="Q844" s="55" t="str">
        <f>IF(AND($M844=$O$7,$B844&lt;'111'!$N$11),"x","")</f>
        <v/>
      </c>
      <c r="R844" s="55" t="str">
        <f>IF(ISERROR(FIND('112'!$M$9,G844,1)),"",IF((AND(FIND('112'!$M$9,G844,1)&gt;=1,$B844&gt;='112'!$N$8,$B844&lt;='112'!$O$8,OR($L844='112'!$I$6,$M844='112'!$I$6))),"x",""))</f>
        <v/>
      </c>
      <c r="S844" s="55" t="str">
        <f>IF(ISERROR(FIND('112'!$M$9,G844,1)),"",IF((AND(LEFT(G844,2)=LEFT('112'!$M$9,2),B844&lt;'112'!$N$8,$L844='112'!$I$6)),"x",""))</f>
        <v/>
      </c>
      <c r="T844" s="55" t="str">
        <f>IF(ISERROR(FIND('112'!$M$9,G844,1)),"",IF((AND(RIGHT(G844,2)=RIGHT('112'!$M$9,2),B844&lt;'112'!$N$8,$M844='112'!$I$6)),"x",""))</f>
        <v/>
      </c>
      <c r="U844" s="55" t="str">
        <f>IF(AND('3411-CT'!$F$9=H844,OR(LEFT(L844,3)=$U$7,LEFT(M844,3)=$U$7)),"x","")</f>
        <v/>
      </c>
      <c r="V844" s="55" t="str">
        <f>IF(OR(TH!L844=TH!$V$7,M844=TH!$V$7),"x","")</f>
        <v/>
      </c>
      <c r="W844" s="55" t="str">
        <f>IF(AND(OR(L844="131",M844="131"),H844='131-CT'!$E$7),"x","")</f>
        <v/>
      </c>
      <c r="X844" s="55" t="str">
        <f>IF(AND(B844&gt;='IN-NX'!$P$3,B844&lt;='IN-NX'!$Q$3,'IN-NX'!$D$7=D844,OR(LEFT(TH!L844,2)="15",LEFT(TH!M844,2)="15")),"x","")</f>
        <v/>
      </c>
      <c r="Y844" s="55" t="str">
        <f>IF(AND(OR(LEFT(TH!L844,2)="15",LEFT(TH!M844,2)="15"),'152-CT'!$J$8=TH!F844),"x","")</f>
        <v/>
      </c>
      <c r="Z844" s="55" t="str">
        <f>IF(AND(OR(LEFT(TH!L844,2)="15",LEFT(TH!M844,2)="15"),TK!$E$7=TH!F844),"x","")</f>
        <v/>
      </c>
      <c r="AA844" s="55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>
        <f t="shared" si="36"/>
        <v>10</v>
      </c>
      <c r="C845" s="37">
        <v>41191</v>
      </c>
      <c r="D845" s="37" t="s">
        <v>405</v>
      </c>
      <c r="E845" s="37">
        <v>41191</v>
      </c>
      <c r="F845" s="40" t="s">
        <v>407</v>
      </c>
      <c r="G845" s="580" t="s">
        <v>401</v>
      </c>
      <c r="H845" s="45"/>
      <c r="I845" s="277"/>
      <c r="J845" s="277"/>
      <c r="K845" s="38">
        <v>20000</v>
      </c>
      <c r="L845" s="39" t="s">
        <v>87</v>
      </c>
      <c r="M845" s="39" t="s">
        <v>24</v>
      </c>
      <c r="N845" s="55" t="str">
        <f>IF(AND('331-CT'!$E$7=TH!H845,OR(L845="331",M845="331")),"x","")</f>
        <v/>
      </c>
      <c r="O845" s="55" t="str">
        <f>IF(AND($B845&gt;='111'!$N$11,$B845&lt;='111'!$O$11,OR($L845=$O$7,$M845=$O$7)),"x","")</f>
        <v/>
      </c>
      <c r="P845" s="55" t="str">
        <f>IF(AND($L845=$O$7,$B845&lt;'111'!$N$11),"x","")</f>
        <v/>
      </c>
      <c r="Q845" s="55" t="str">
        <f>IF(AND($M845=$O$7,$B845&lt;'111'!$N$11),"x","")</f>
        <v/>
      </c>
      <c r="R845" s="55" t="str">
        <f>IF(ISERROR(FIND('112'!$M$9,G845,1)),"",IF((AND(FIND('112'!$M$9,G845,1)&gt;=1,$B845&gt;='112'!$N$8,$B845&lt;='112'!$O$8,OR($L845='112'!$I$6,$M845='112'!$I$6))),"x",""))</f>
        <v/>
      </c>
      <c r="S845" s="55" t="str">
        <f>IF(ISERROR(FIND('112'!$M$9,G845,1)),"",IF((AND(LEFT(G845,2)=LEFT('112'!$M$9,2),B845&lt;'112'!$N$8,$L845='112'!$I$6)),"x",""))</f>
        <v/>
      </c>
      <c r="T845" s="55" t="str">
        <f>IF(ISERROR(FIND('112'!$M$9,G845,1)),"",IF((AND(RIGHT(G845,2)=RIGHT('112'!$M$9,2),B845&lt;'112'!$N$8,$M845='112'!$I$6)),"x",""))</f>
        <v/>
      </c>
      <c r="U845" s="55" t="str">
        <f>IF(AND('3411-CT'!$F$9=H845,OR(LEFT(L845,3)=$U$7,LEFT(M845,3)=$U$7)),"x","")</f>
        <v/>
      </c>
      <c r="V845" s="55" t="str">
        <f>IF(OR(TH!L845=TH!$V$7,M845=TH!$V$7),"x","")</f>
        <v/>
      </c>
      <c r="W845" s="55" t="str">
        <f>IF(AND(OR(L845="131",M845="131"),H845='131-CT'!$E$7),"x","")</f>
        <v/>
      </c>
      <c r="X845" s="55" t="str">
        <f>IF(AND(B845&gt;='IN-NX'!$P$3,B845&lt;='IN-NX'!$Q$3,'IN-NX'!$D$7=D845,OR(LEFT(TH!L845,2)="15",LEFT(TH!M845,2)="15")),"x","")</f>
        <v/>
      </c>
      <c r="Y845" s="55" t="str">
        <f>IF(AND(OR(LEFT(TH!L845,2)="15",LEFT(TH!M845,2)="15"),'152-CT'!$J$8=TH!F845),"x","")</f>
        <v/>
      </c>
      <c r="Z845" s="55" t="str">
        <f>IF(AND(OR(LEFT(TH!L845,2)="15",LEFT(TH!M845,2)="15"),TK!$E$7=TH!F845),"x","")</f>
        <v/>
      </c>
      <c r="AA845" s="55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>
        <f t="shared" si="36"/>
        <v>10</v>
      </c>
      <c r="C846" s="37">
        <v>41191</v>
      </c>
      <c r="D846" s="37" t="s">
        <v>405</v>
      </c>
      <c r="E846" s="37">
        <v>41191</v>
      </c>
      <c r="F846" s="40" t="s">
        <v>865</v>
      </c>
      <c r="G846" s="580" t="s">
        <v>401</v>
      </c>
      <c r="H846" s="45"/>
      <c r="I846" s="277"/>
      <c r="J846" s="277"/>
      <c r="K846" s="38">
        <v>14289</v>
      </c>
      <c r="L846" s="39" t="s">
        <v>87</v>
      </c>
      <c r="M846" s="39" t="s">
        <v>24</v>
      </c>
      <c r="N846" s="55" t="str">
        <f>IF(AND('331-CT'!$E$7=TH!H846,OR(L846="331",M846="331")),"x","")</f>
        <v/>
      </c>
      <c r="O846" s="55" t="str">
        <f>IF(AND($B846&gt;='111'!$N$11,$B846&lt;='111'!$O$11,OR($L846=$O$7,$M846=$O$7)),"x","")</f>
        <v/>
      </c>
      <c r="P846" s="55" t="str">
        <f>IF(AND($L846=$O$7,$B846&lt;'111'!$N$11),"x","")</f>
        <v/>
      </c>
      <c r="Q846" s="55" t="str">
        <f>IF(AND($M846=$O$7,$B846&lt;'111'!$N$11),"x","")</f>
        <v/>
      </c>
      <c r="R846" s="55" t="str">
        <f>IF(ISERROR(FIND('112'!$M$9,G846,1)),"",IF((AND(FIND('112'!$M$9,G846,1)&gt;=1,$B846&gt;='112'!$N$8,$B846&lt;='112'!$O$8,OR($L846='112'!$I$6,$M846='112'!$I$6))),"x",""))</f>
        <v/>
      </c>
      <c r="S846" s="55" t="str">
        <f>IF(ISERROR(FIND('112'!$M$9,G846,1)),"",IF((AND(LEFT(G846,2)=LEFT('112'!$M$9,2),B846&lt;'112'!$N$8,$L846='112'!$I$6)),"x",""))</f>
        <v/>
      </c>
      <c r="T846" s="55" t="str">
        <f>IF(ISERROR(FIND('112'!$M$9,G846,1)),"",IF((AND(RIGHT(G846,2)=RIGHT('112'!$M$9,2),B846&lt;'112'!$N$8,$M846='112'!$I$6)),"x",""))</f>
        <v/>
      </c>
      <c r="U846" s="55" t="str">
        <f>IF(AND('3411-CT'!$F$9=H846,OR(LEFT(L846,3)=$U$7,LEFT(M846,3)=$U$7)),"x","")</f>
        <v/>
      </c>
      <c r="V846" s="55" t="str">
        <f>IF(OR(TH!L846=TH!$V$7,M846=TH!$V$7),"x","")</f>
        <v/>
      </c>
      <c r="W846" s="55" t="str">
        <f>IF(AND(OR(L846="131",M846="131"),H846='131-CT'!$E$7),"x","")</f>
        <v/>
      </c>
      <c r="X846" s="55" t="str">
        <f>IF(AND(B846&gt;='IN-NX'!$P$3,B846&lt;='IN-NX'!$Q$3,'IN-NX'!$D$7=D846,OR(LEFT(TH!L846,2)="15",LEFT(TH!M846,2)="15")),"x","")</f>
        <v/>
      </c>
      <c r="Y846" s="55" t="str">
        <f>IF(AND(OR(LEFT(TH!L846,2)="15",LEFT(TH!M846,2)="15"),'152-CT'!$J$8=TH!F846),"x","")</f>
        <v/>
      </c>
      <c r="Z846" s="55" t="str">
        <f>IF(AND(OR(LEFT(TH!L846,2)="15",LEFT(TH!M846,2)="15"),TK!$E$7=TH!F846),"x","")</f>
        <v/>
      </c>
      <c r="AA846" s="55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>T01</v>
      </c>
      <c r="B847" s="36">
        <f t="shared" si="36"/>
        <v>10</v>
      </c>
      <c r="C847" s="37">
        <v>41197</v>
      </c>
      <c r="D847" s="37" t="s">
        <v>463</v>
      </c>
      <c r="E847" s="37">
        <v>41197</v>
      </c>
      <c r="F847" s="40" t="s">
        <v>550</v>
      </c>
      <c r="G847" s="40" t="s">
        <v>401</v>
      </c>
      <c r="H847" s="45" t="s">
        <v>706</v>
      </c>
      <c r="I847" s="277"/>
      <c r="J847" s="277"/>
      <c r="K847" s="38">
        <v>8000000</v>
      </c>
      <c r="L847" s="39" t="s">
        <v>49</v>
      </c>
      <c r="M847" s="39" t="s">
        <v>24</v>
      </c>
      <c r="N847" s="55" t="str">
        <f>IF(AND('331-CT'!$E$7=TH!H847,OR(L847="331",M847="331")),"x","")</f>
        <v/>
      </c>
      <c r="O847" s="55" t="str">
        <f>IF(AND($B847&gt;='111'!$N$11,$B847&lt;='111'!$O$11,OR($L847=$O$7,$M847=$O$7)),"x","")</f>
        <v>x</v>
      </c>
      <c r="P847" s="55" t="str">
        <f>IF(AND($L847=$O$7,$B847&lt;'111'!$N$11),"x","")</f>
        <v/>
      </c>
      <c r="Q847" s="55" t="str">
        <f>IF(AND($M847=$O$7,$B847&lt;'111'!$N$11),"x","")</f>
        <v/>
      </c>
      <c r="R847" s="55" t="str">
        <f>IF(ISERROR(FIND('112'!$M$9,G847,1)),"",IF((AND(FIND('112'!$M$9,G847,1)&gt;=1,$B847&gt;='112'!$N$8,$B847&lt;='112'!$O$8,OR($L847='112'!$I$6,$M847='112'!$I$6))),"x",""))</f>
        <v/>
      </c>
      <c r="S847" s="55" t="str">
        <f>IF(ISERROR(FIND('112'!$M$9,G847,1)),"",IF((AND(LEFT(G847,2)=LEFT('112'!$M$9,2),B847&lt;'112'!$N$8,$L847='112'!$I$6)),"x",""))</f>
        <v/>
      </c>
      <c r="T847" s="55" t="str">
        <f>IF(ISERROR(FIND('112'!$M$9,G847,1)),"",IF((AND(RIGHT(G847,2)=RIGHT('112'!$M$9,2),B847&lt;'112'!$N$8,$M847='112'!$I$6)),"x",""))</f>
        <v/>
      </c>
      <c r="U847" s="55" t="str">
        <f>IF(AND('3411-CT'!$F$9=H847,OR(LEFT(L847,3)=$U$7,LEFT(M847,3)=$U$7)),"x","")</f>
        <v/>
      </c>
      <c r="V847" s="55" t="str">
        <f>IF(OR(TH!L847=TH!$V$7,M847=TH!$V$7),"x","")</f>
        <v/>
      </c>
      <c r="W847" s="55" t="str">
        <f>IF(AND(OR(L847="131",M847="131"),H847='131-CT'!$E$7),"x","")</f>
        <v/>
      </c>
      <c r="X847" s="55" t="str">
        <f>IF(AND(B847&gt;='IN-NX'!$P$3,B847&lt;='IN-NX'!$Q$3,'IN-NX'!$D$7=D847,OR(LEFT(TH!L847,2)="15",LEFT(TH!M847,2)="15")),"x","")</f>
        <v/>
      </c>
      <c r="Y847" s="55" t="str">
        <f>IF(AND(OR(LEFT(TH!L847,2)="15",LEFT(TH!M847,2)="15"),'152-CT'!$J$8=TH!F847),"x","")</f>
        <v/>
      </c>
      <c r="Z847" s="55" t="str">
        <f>IF(AND(OR(LEFT(TH!L847,2)="15",LEFT(TH!M847,2)="15"),TK!$E$7=TH!F847),"x","")</f>
        <v/>
      </c>
      <c r="AA847" s="55" t="str">
        <f>IF(AND(B847&lt;=NKC!$N$8,B847&gt;=NKC!$M$8),"x","")</f>
        <v/>
      </c>
    </row>
    <row r="848" spans="1:30" s="226" customFormat="1" ht="15.75" customHeight="1">
      <c r="A848" s="219" t="str">
        <f>IF(B848&lt;&gt;"",IF(AND(B848&gt;=_TM1,B848&lt;=_TM2,OR(TH!L848="1111",TH!M848="1111")),TH!D848,""),"")</f>
        <v>C03</v>
      </c>
      <c r="B848" s="36">
        <f t="shared" si="36"/>
        <v>10</v>
      </c>
      <c r="C848" s="37">
        <v>41197</v>
      </c>
      <c r="D848" s="37" t="s">
        <v>467</v>
      </c>
      <c r="E848" s="37">
        <v>41197</v>
      </c>
      <c r="F848" s="40" t="s">
        <v>1066</v>
      </c>
      <c r="G848" s="580" t="s">
        <v>1067</v>
      </c>
      <c r="H848" s="45" t="s">
        <v>456</v>
      </c>
      <c r="I848" s="277"/>
      <c r="J848" s="277"/>
      <c r="K848" s="38">
        <v>2000000</v>
      </c>
      <c r="L848" s="39" t="s">
        <v>194</v>
      </c>
      <c r="M848" s="39" t="s">
        <v>49</v>
      </c>
      <c r="N848" s="55" t="str">
        <f>IF(AND('331-CT'!$E$7=TH!H848,OR(L848="331",M848="331")),"x","")</f>
        <v/>
      </c>
      <c r="O848" s="55" t="str">
        <f>IF(AND($B848&gt;='111'!$N$11,$B848&lt;='111'!$O$11,OR($L848=$O$7,$M848=$O$7)),"x","")</f>
        <v>x</v>
      </c>
      <c r="P848" s="55" t="str">
        <f>IF(AND($L848=$O$7,$B848&lt;'111'!$N$11),"x","")</f>
        <v/>
      </c>
      <c r="Q848" s="55" t="str">
        <f>IF(AND($M848=$O$7,$B848&lt;'111'!$N$11),"x","")</f>
        <v/>
      </c>
      <c r="R848" s="55" t="str">
        <f>IF(ISERROR(FIND('112'!$M$9,G848,1)),"",IF((AND(FIND('112'!$M$9,G848,1)&gt;=1,$B848&gt;='112'!$N$8,$B848&lt;='112'!$O$8,OR($L848='112'!$I$6,$M848='112'!$I$6))),"x",""))</f>
        <v/>
      </c>
      <c r="S848" s="55" t="str">
        <f>IF(ISERROR(FIND('112'!$M$9,G848,1)),"",IF((AND(LEFT(G848,2)=LEFT('112'!$M$9,2),B848&lt;'112'!$N$8,$L848='112'!$I$6)),"x",""))</f>
        <v/>
      </c>
      <c r="T848" s="55" t="str">
        <f>IF(ISERROR(FIND('112'!$M$9,G848,1)),"",IF((AND(RIGHT(G848,2)=RIGHT('112'!$M$9,2),B848&lt;'112'!$N$8,$M848='112'!$I$6)),"x",""))</f>
        <v/>
      </c>
      <c r="U848" s="55" t="str">
        <f>IF(AND('3411-CT'!$F$9=H848,OR(LEFT(L848,3)=$U$7,LEFT(M848,3)=$U$7)),"x","")</f>
        <v/>
      </c>
      <c r="V848" s="55" t="str">
        <f>IF(OR(TH!L848=TH!$V$7,M848=TH!$V$7),"x","")</f>
        <v/>
      </c>
      <c r="W848" s="55" t="str">
        <f>IF(AND(OR(L848="131",M848="131"),H848='131-CT'!$E$7),"x","")</f>
        <v/>
      </c>
      <c r="X848" s="55" t="str">
        <f>IF(AND(B848&gt;='IN-NX'!$P$3,B848&lt;='IN-NX'!$Q$3,'IN-NX'!$D$7=D848,OR(LEFT(TH!L848,2)="15",LEFT(TH!M848,2)="15")),"x","")</f>
        <v/>
      </c>
      <c r="Y848" s="55" t="str">
        <f>IF(AND(OR(LEFT(TH!L848,2)="15",LEFT(TH!M848,2)="15"),'152-CT'!$J$8=TH!F848),"x","")</f>
        <v/>
      </c>
      <c r="Z848" s="55" t="str">
        <f>IF(AND(OR(LEFT(TH!L848,2)="15",LEFT(TH!M848,2)="15"),TK!$E$7=TH!F848),"x","")</f>
        <v/>
      </c>
      <c r="AA848" s="55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>C03</v>
      </c>
      <c r="B849" s="36">
        <f t="shared" ref="B849:B903" si="37">IF(C849&lt;&gt;"",MONTH(C849),"")</f>
        <v>10</v>
      </c>
      <c r="C849" s="37">
        <v>41197</v>
      </c>
      <c r="D849" s="37" t="s">
        <v>467</v>
      </c>
      <c r="E849" s="37">
        <v>41197</v>
      </c>
      <c r="F849" s="40" t="s">
        <v>413</v>
      </c>
      <c r="G849" s="580" t="s">
        <v>1067</v>
      </c>
      <c r="H849" s="45" t="s">
        <v>456</v>
      </c>
      <c r="I849" s="277"/>
      <c r="J849" s="277"/>
      <c r="K849" s="38">
        <v>200000</v>
      </c>
      <c r="L849" s="39" t="s">
        <v>9</v>
      </c>
      <c r="M849" s="39" t="s">
        <v>49</v>
      </c>
      <c r="N849" s="55" t="str">
        <f>IF(AND('331-CT'!$E$7=TH!H849,OR(L849="331",M849="331")),"x","")</f>
        <v/>
      </c>
      <c r="O849" s="55" t="str">
        <f>IF(AND($B849&gt;='111'!$N$11,$B849&lt;='111'!$O$11,OR($L849=$O$7,$M849=$O$7)),"x","")</f>
        <v>x</v>
      </c>
      <c r="P849" s="55" t="str">
        <f>IF(AND($L849=$O$7,$B849&lt;'111'!$N$11),"x","")</f>
        <v/>
      </c>
      <c r="Q849" s="55" t="str">
        <f>IF(AND($M849=$O$7,$B849&lt;'111'!$N$11),"x","")</f>
        <v/>
      </c>
      <c r="R849" s="55" t="str">
        <f>IF(ISERROR(FIND('112'!$M$9,G849,1)),"",IF((AND(FIND('112'!$M$9,G849,1)&gt;=1,$B849&gt;='112'!$N$8,$B849&lt;='112'!$O$8,OR($L849='112'!$I$6,$M849='112'!$I$6))),"x",""))</f>
        <v/>
      </c>
      <c r="S849" s="55" t="str">
        <f>IF(ISERROR(FIND('112'!$M$9,G849,1)),"",IF((AND(LEFT(G849,2)=LEFT('112'!$M$9,2),B849&lt;'112'!$N$8,$L849='112'!$I$6)),"x",""))</f>
        <v/>
      </c>
      <c r="T849" s="55" t="str">
        <f>IF(ISERROR(FIND('112'!$M$9,G849,1)),"",IF((AND(RIGHT(G849,2)=RIGHT('112'!$M$9,2),B849&lt;'112'!$N$8,$M849='112'!$I$6)),"x",""))</f>
        <v/>
      </c>
      <c r="U849" s="55" t="str">
        <f>IF(AND('3411-CT'!$F$9=H849,OR(LEFT(L849,3)=$U$7,LEFT(M849,3)=$U$7)),"x","")</f>
        <v/>
      </c>
      <c r="V849" s="55" t="str">
        <f>IF(OR(TH!L849=TH!$V$7,M849=TH!$V$7),"x","")</f>
        <v/>
      </c>
      <c r="W849" s="55" t="str">
        <f>IF(AND(OR(L849="131",M849="131"),H849='131-CT'!$E$7),"x","")</f>
        <v/>
      </c>
      <c r="X849" s="55" t="str">
        <f>IF(AND(B849&gt;='IN-NX'!$P$3,B849&lt;='IN-NX'!$Q$3,'IN-NX'!$D$7=D849,OR(LEFT(TH!L849,2)="15",LEFT(TH!M849,2)="15")),"x","")</f>
        <v/>
      </c>
      <c r="Y849" s="55" t="str">
        <f>IF(AND(OR(LEFT(TH!L849,2)="15",LEFT(TH!M849,2)="15"),'152-CT'!$J$8=TH!F849),"x","")</f>
        <v/>
      </c>
      <c r="Z849" s="55" t="str">
        <f>IF(AND(OR(LEFT(TH!L849,2)="15",LEFT(TH!M849,2)="15"),TK!$E$7=TH!F849),"x","")</f>
        <v/>
      </c>
      <c r="AA849" s="55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37"/>
        <v>10</v>
      </c>
      <c r="C850" s="37">
        <v>41197</v>
      </c>
      <c r="D850" s="205" t="s">
        <v>514</v>
      </c>
      <c r="E850" s="37">
        <v>41197</v>
      </c>
      <c r="F850" s="40" t="s">
        <v>1059</v>
      </c>
      <c r="G850" s="580" t="s">
        <v>1068</v>
      </c>
      <c r="H850" s="7" t="s">
        <v>487</v>
      </c>
      <c r="I850" s="277">
        <v>1500</v>
      </c>
      <c r="J850" s="277">
        <v>19979</v>
      </c>
      <c r="K850" s="38">
        <v>29968500</v>
      </c>
      <c r="L850" s="39" t="s">
        <v>186</v>
      </c>
      <c r="M850" s="699" t="s">
        <v>8</v>
      </c>
      <c r="N850" s="55" t="str">
        <f>IF(AND('331-CT'!$E$7=TH!H850,OR(L850="331",M850="331")),"x","")</f>
        <v/>
      </c>
      <c r="O850" s="55" t="str">
        <f>IF(AND($B850&gt;='111'!$N$11,$B850&lt;='111'!$O$11,OR($L850=$O$7,$M850=$O$7)),"x","")</f>
        <v/>
      </c>
      <c r="P850" s="55" t="str">
        <f>IF(AND($L850=$O$7,$B850&lt;'111'!$N$11),"x","")</f>
        <v/>
      </c>
      <c r="Q850" s="55" t="str">
        <f>IF(AND($M850=$O$7,$B850&lt;'111'!$N$11),"x","")</f>
        <v/>
      </c>
      <c r="R850" s="55" t="str">
        <f>IF(ISERROR(FIND('112'!$M$9,G850,1)),"",IF((AND(FIND('112'!$M$9,G850,1)&gt;=1,$B850&gt;='112'!$N$8,$B850&lt;='112'!$O$8,OR($L850='112'!$I$6,$M850='112'!$I$6))),"x",""))</f>
        <v/>
      </c>
      <c r="S850" s="55" t="str">
        <f>IF(ISERROR(FIND('112'!$M$9,G850,1)),"",IF((AND(LEFT(G850,2)=LEFT('112'!$M$9,2),B850&lt;'112'!$N$8,$L850='112'!$I$6)),"x",""))</f>
        <v/>
      </c>
      <c r="T850" s="55" t="str">
        <f>IF(ISERROR(FIND('112'!$M$9,G850,1)),"",IF((AND(RIGHT(G850,2)=RIGHT('112'!$M$9,2),B850&lt;'112'!$N$8,$M850='112'!$I$6)),"x",""))</f>
        <v/>
      </c>
      <c r="U850" s="55" t="str">
        <f>IF(AND('3411-CT'!$F$9=H850,OR(LEFT(L850,3)=$U$7,LEFT(M850,3)=$U$7)),"x","")</f>
        <v/>
      </c>
      <c r="V850" s="55" t="str">
        <f>IF(OR(TH!L850=TH!$V$7,M850=TH!$V$7),"x","")</f>
        <v/>
      </c>
      <c r="W850" s="55" t="str">
        <f>IF(AND(OR(L850="131",M850="131"),H850='131-CT'!$E$7),"x","")</f>
        <v/>
      </c>
      <c r="X850" s="55" t="str">
        <f>IF(AND(B850&gt;='IN-NX'!$P$3,B850&lt;='IN-NX'!$Q$3,'IN-NX'!$D$7=D850,OR(LEFT(TH!L850,2)="15",LEFT(TH!M850,2)="15")),"x","")</f>
        <v/>
      </c>
      <c r="Y850" s="55" t="str">
        <f>IF(AND(OR(LEFT(TH!L850,2)="15",LEFT(TH!M850,2)="15"),'152-CT'!$J$8=TH!F850),"x","")</f>
        <v/>
      </c>
      <c r="Z850" s="55" t="str">
        <f>IF(AND(OR(LEFT(TH!L850,2)="15",LEFT(TH!M850,2)="15"),TK!$E$7=TH!F850),"x","")</f>
        <v/>
      </c>
      <c r="AA850" s="55" t="str">
        <f>IF(AND(B850&lt;=NKC!$N$8,B850&gt;=NKC!$M$8),"x","")</f>
        <v/>
      </c>
      <c r="AC850" s="226" t="str">
        <f>IF(ISNA(VLOOKUP(F850,NXT!$C$18:$C$347,1,0)),x,"")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>
        <f t="shared" si="37"/>
        <v>10</v>
      </c>
      <c r="C851" s="37">
        <v>41197</v>
      </c>
      <c r="D851" s="205" t="s">
        <v>514</v>
      </c>
      <c r="E851" s="37">
        <v>41197</v>
      </c>
      <c r="F851" s="40" t="s">
        <v>1059</v>
      </c>
      <c r="G851" s="580" t="s">
        <v>1068</v>
      </c>
      <c r="H851" s="7" t="s">
        <v>487</v>
      </c>
      <c r="I851" s="277">
        <v>140</v>
      </c>
      <c r="J851" s="277">
        <v>18628</v>
      </c>
      <c r="K851" s="38">
        <v>2607920</v>
      </c>
      <c r="L851" s="39" t="s">
        <v>186</v>
      </c>
      <c r="M851" s="699" t="s">
        <v>8</v>
      </c>
      <c r="N851" s="55" t="str">
        <f>IF(AND('331-CT'!$E$7=TH!H851,OR(L851="331",M851="331")),"x","")</f>
        <v/>
      </c>
      <c r="O851" s="55" t="str">
        <f>IF(AND($B851&gt;='111'!$N$11,$B851&lt;='111'!$O$11,OR($L851=$O$7,$M851=$O$7)),"x","")</f>
        <v/>
      </c>
      <c r="P851" s="55" t="str">
        <f>IF(AND($L851=$O$7,$B851&lt;'111'!$N$11),"x","")</f>
        <v/>
      </c>
      <c r="Q851" s="55" t="str">
        <f>IF(AND($M851=$O$7,$B851&lt;'111'!$N$11),"x","")</f>
        <v/>
      </c>
      <c r="R851" s="55" t="str">
        <f>IF(ISERROR(FIND('112'!$M$9,G851,1)),"",IF((AND(FIND('112'!$M$9,G851,1)&gt;=1,$B851&gt;='112'!$N$8,$B851&lt;='112'!$O$8,OR($L851='112'!$I$6,$M851='112'!$I$6))),"x",""))</f>
        <v/>
      </c>
      <c r="S851" s="55" t="str">
        <f>IF(ISERROR(FIND('112'!$M$9,G851,1)),"",IF((AND(LEFT(G851,2)=LEFT('112'!$M$9,2),B851&lt;'112'!$N$8,$L851='112'!$I$6)),"x",""))</f>
        <v/>
      </c>
      <c r="T851" s="55" t="str">
        <f>IF(ISERROR(FIND('112'!$M$9,G851,1)),"",IF((AND(RIGHT(G851,2)=RIGHT('112'!$M$9,2),B851&lt;'112'!$N$8,$M851='112'!$I$6)),"x",""))</f>
        <v/>
      </c>
      <c r="U851" s="55" t="str">
        <f>IF(AND('3411-CT'!$F$9=H851,OR(LEFT(L851,3)=$U$7,LEFT(M851,3)=$U$7)),"x","")</f>
        <v/>
      </c>
      <c r="V851" s="55" t="str">
        <f>IF(OR(TH!L851=TH!$V$7,M851=TH!$V$7),"x","")</f>
        <v/>
      </c>
      <c r="W851" s="55" t="str">
        <f>IF(AND(OR(L851="131",M851="131"),H851='131-CT'!$E$7),"x","")</f>
        <v/>
      </c>
      <c r="X851" s="55" t="str">
        <f>IF(AND(B851&gt;='IN-NX'!$P$3,B851&lt;='IN-NX'!$Q$3,'IN-NX'!$D$7=D851,OR(LEFT(TH!L851,2)="15",LEFT(TH!M851,2)="15")),"x","")</f>
        <v/>
      </c>
      <c r="Y851" s="55" t="str">
        <f>IF(AND(OR(LEFT(TH!L851,2)="15",LEFT(TH!M851,2)="15"),'152-CT'!$J$8=TH!F851),"x","")</f>
        <v/>
      </c>
      <c r="Z851" s="55" t="str">
        <f>IF(AND(OR(LEFT(TH!L851,2)="15",LEFT(TH!M851,2)="15"),TK!$E$7=TH!F851),"x","")</f>
        <v/>
      </c>
      <c r="AA851" s="55" t="str">
        <f>IF(AND(B851&lt;=NKC!$N$8,B851&gt;=NKC!$M$8),"x","")</f>
        <v/>
      </c>
      <c r="AC851" s="226" t="str">
        <f>IF(ISNA(VLOOKUP(F851,NXT!$C$18:$C$347,1,0)),x,"")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37"/>
        <v>10</v>
      </c>
      <c r="C852" s="37">
        <v>41197</v>
      </c>
      <c r="D852" s="205" t="s">
        <v>514</v>
      </c>
      <c r="E852" s="37">
        <v>41197</v>
      </c>
      <c r="F852" s="40" t="s">
        <v>573</v>
      </c>
      <c r="G852" s="580" t="s">
        <v>1068</v>
      </c>
      <c r="H852" s="7" t="s">
        <v>487</v>
      </c>
      <c r="I852" s="277"/>
      <c r="J852" s="277"/>
      <c r="K852" s="38">
        <v>3257642</v>
      </c>
      <c r="L852" s="39" t="s">
        <v>9</v>
      </c>
      <c r="M852" s="699" t="s">
        <v>8</v>
      </c>
      <c r="N852" s="55" t="str">
        <f>IF(AND('331-CT'!$E$7=TH!H852,OR(L852="331",M852="331")),"x","")</f>
        <v/>
      </c>
      <c r="O852" s="55" t="str">
        <f>IF(AND($B852&gt;='111'!$N$11,$B852&lt;='111'!$O$11,OR($L852=$O$7,$M852=$O$7)),"x","")</f>
        <v/>
      </c>
      <c r="P852" s="55" t="str">
        <f>IF(AND($L852=$O$7,$B852&lt;'111'!$N$11),"x","")</f>
        <v/>
      </c>
      <c r="Q852" s="55" t="str">
        <f>IF(AND($M852=$O$7,$B852&lt;'111'!$N$11),"x","")</f>
        <v/>
      </c>
      <c r="R852" s="55" t="str">
        <f>IF(ISERROR(FIND('112'!$M$9,G852,1)),"",IF((AND(FIND('112'!$M$9,G852,1)&gt;=1,$B852&gt;='112'!$N$8,$B852&lt;='112'!$O$8,OR($L852='112'!$I$6,$M852='112'!$I$6))),"x",""))</f>
        <v/>
      </c>
      <c r="S852" s="55" t="str">
        <f>IF(ISERROR(FIND('112'!$M$9,G852,1)),"",IF((AND(LEFT(G852,2)=LEFT('112'!$M$9,2),B852&lt;'112'!$N$8,$L852='112'!$I$6)),"x",""))</f>
        <v/>
      </c>
      <c r="T852" s="55" t="str">
        <f>IF(ISERROR(FIND('112'!$M$9,G852,1)),"",IF((AND(RIGHT(G852,2)=RIGHT('112'!$M$9,2),B852&lt;'112'!$N$8,$M852='112'!$I$6)),"x",""))</f>
        <v/>
      </c>
      <c r="U852" s="55" t="str">
        <f>IF(AND('3411-CT'!$F$9=H852,OR(LEFT(L852,3)=$U$7,LEFT(M852,3)=$U$7)),"x","")</f>
        <v/>
      </c>
      <c r="V852" s="55" t="str">
        <f>IF(OR(TH!L852=TH!$V$7,M852=TH!$V$7),"x","")</f>
        <v/>
      </c>
      <c r="W852" s="55" t="str">
        <f>IF(AND(OR(L852="131",M852="131"),H852='131-CT'!$E$7),"x","")</f>
        <v/>
      </c>
      <c r="X852" s="55" t="str">
        <f>IF(AND(B852&gt;='IN-NX'!$P$3,B852&lt;='IN-NX'!$Q$3,'IN-NX'!$D$7=D852,OR(LEFT(TH!L852,2)="15",LEFT(TH!M852,2)="15")),"x","")</f>
        <v/>
      </c>
      <c r="Y852" s="55" t="str">
        <f>IF(AND(OR(LEFT(TH!L852,2)="15",LEFT(TH!M852,2)="15"),'152-CT'!$J$8=TH!F852),"x","")</f>
        <v/>
      </c>
      <c r="Z852" s="55" t="str">
        <f>IF(AND(OR(LEFT(TH!L852,2)="15",LEFT(TH!M852,2)="15"),TK!$E$7=TH!F852),"x","")</f>
        <v/>
      </c>
      <c r="AA852" s="55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>C04</v>
      </c>
      <c r="B853" s="36">
        <f>IF(C853&lt;&gt;"",MONTH(C853),"")</f>
        <v>10</v>
      </c>
      <c r="C853" s="37">
        <v>41199</v>
      </c>
      <c r="D853" s="37" t="s">
        <v>468</v>
      </c>
      <c r="E853" s="37">
        <v>41199</v>
      </c>
      <c r="F853" s="40" t="s">
        <v>451</v>
      </c>
      <c r="G853" s="580" t="s">
        <v>401</v>
      </c>
      <c r="H853" s="45" t="s">
        <v>706</v>
      </c>
      <c r="I853" s="277"/>
      <c r="J853" s="277"/>
      <c r="K853" s="38">
        <v>55000000</v>
      </c>
      <c r="L853" s="39" t="s">
        <v>24</v>
      </c>
      <c r="M853" s="39" t="s">
        <v>49</v>
      </c>
      <c r="N853" s="55" t="str">
        <f>IF(AND('331-CT'!$E$7=TH!H853,OR(L853="331",M853="331")),"x","")</f>
        <v/>
      </c>
      <c r="O853" s="55" t="str">
        <f>IF(AND($B853&gt;='111'!$N$11,$B853&lt;='111'!$O$11,OR($L853=$O$7,$M853=$O$7)),"x","")</f>
        <v>x</v>
      </c>
      <c r="P853" s="55" t="str">
        <f>IF(AND($L853=$O$7,$B853&lt;'111'!$N$11),"x","")</f>
        <v/>
      </c>
      <c r="Q853" s="55" t="str">
        <f>IF(AND($M853=$O$7,$B853&lt;'111'!$N$11),"x","")</f>
        <v/>
      </c>
      <c r="R853" s="55" t="str">
        <f>IF(ISERROR(FIND('112'!$M$9,G853,1)),"",IF((AND(FIND('112'!$M$9,G853,1)&gt;=1,$B853&gt;='112'!$N$8,$B853&lt;='112'!$O$8,OR($L853='112'!$I$6,$M853='112'!$I$6))),"x",""))</f>
        <v/>
      </c>
      <c r="S853" s="55" t="str">
        <f>IF(ISERROR(FIND('112'!$M$9,G853,1)),"",IF((AND(LEFT(G853,2)=LEFT('112'!$M$9,2),B853&lt;'112'!$N$8,$L853='112'!$I$6)),"x",""))</f>
        <v/>
      </c>
      <c r="T853" s="55" t="str">
        <f>IF(ISERROR(FIND('112'!$M$9,G853,1)),"",IF((AND(RIGHT(G853,2)=RIGHT('112'!$M$9,2),B853&lt;'112'!$N$8,$M853='112'!$I$6)),"x",""))</f>
        <v/>
      </c>
      <c r="U853" s="55" t="str">
        <f>IF(AND('3411-CT'!$F$9=H853,OR(LEFT(L853,3)=$U$7,LEFT(M853,3)=$U$7)),"x","")</f>
        <v/>
      </c>
      <c r="V853" s="55" t="str">
        <f>IF(OR(TH!L853=TH!$V$7,M853=TH!$V$7),"x","")</f>
        <v/>
      </c>
      <c r="W853" s="55" t="str">
        <f>IF(AND(OR(L853="131",M853="131"),H853='131-CT'!$E$7),"x","")</f>
        <v/>
      </c>
      <c r="X853" s="55" t="str">
        <f>IF(AND(B853&gt;='IN-NX'!$P$3,B853&lt;='IN-NX'!$Q$3,'IN-NX'!$D$7=D853,OR(LEFT(TH!L853,2)="15",LEFT(TH!M853,2)="15")),"x","")</f>
        <v/>
      </c>
      <c r="Y853" s="55" t="str">
        <f>IF(AND(OR(LEFT(TH!L853,2)="15",LEFT(TH!M853,2)="15"),'152-CT'!$J$8=TH!F853),"x","")</f>
        <v/>
      </c>
      <c r="Z853" s="55" t="str">
        <f>IF(AND(OR(LEFT(TH!L853,2)="15",LEFT(TH!M853,2)="15"),TK!$E$7=TH!F853),"x","")</f>
        <v/>
      </c>
      <c r="AA853" s="55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37"/>
        <v>10</v>
      </c>
      <c r="C854" s="37">
        <v>41199</v>
      </c>
      <c r="D854" s="37" t="s">
        <v>405</v>
      </c>
      <c r="E854" s="37">
        <v>41199</v>
      </c>
      <c r="F854" s="40" t="s">
        <v>455</v>
      </c>
      <c r="G854" s="580" t="s">
        <v>401</v>
      </c>
      <c r="H854" s="207"/>
      <c r="I854" s="277"/>
      <c r="J854" s="277"/>
      <c r="K854" s="38">
        <v>50000000</v>
      </c>
      <c r="L854" s="39" t="s">
        <v>8</v>
      </c>
      <c r="M854" s="39" t="s">
        <v>24</v>
      </c>
      <c r="N854" s="55" t="str">
        <f>IF(AND('331-CT'!$E$7=TH!H854,OR(L854="331",M854="331")),"x","")</f>
        <v/>
      </c>
      <c r="O854" s="55" t="str">
        <f>IF(AND($B854&gt;='111'!$N$11,$B854&lt;='111'!$O$11,OR($L854=$O$7,$M854=$O$7)),"x","")</f>
        <v/>
      </c>
      <c r="P854" s="55" t="str">
        <f>IF(AND($L854=$O$7,$B854&lt;'111'!$N$11),"x","")</f>
        <v/>
      </c>
      <c r="Q854" s="55" t="str">
        <f>IF(AND($M854=$O$7,$B854&lt;'111'!$N$11),"x","")</f>
        <v/>
      </c>
      <c r="R854" s="55" t="str">
        <f>IF(ISERROR(FIND('112'!$M$9,G854,1)),"",IF((AND(FIND('112'!$M$9,G854,1)&gt;=1,$B854&gt;='112'!$N$8,$B854&lt;='112'!$O$8,OR($L854='112'!$I$6,$M854='112'!$I$6))),"x",""))</f>
        <v/>
      </c>
      <c r="S854" s="55" t="str">
        <f>IF(ISERROR(FIND('112'!$M$9,G854,1)),"",IF((AND(LEFT(G854,2)=LEFT('112'!$M$9,2),B854&lt;'112'!$N$8,$L854='112'!$I$6)),"x",""))</f>
        <v/>
      </c>
      <c r="T854" s="55" t="str">
        <f>IF(ISERROR(FIND('112'!$M$9,G854,1)),"",IF((AND(RIGHT(G854,2)=RIGHT('112'!$M$9,2),B854&lt;'112'!$N$8,$M854='112'!$I$6)),"x",""))</f>
        <v/>
      </c>
      <c r="U854" s="55" t="str">
        <f>IF(AND('3411-CT'!$F$9=H854,OR(LEFT(L854,3)=$U$7,LEFT(M854,3)=$U$7)),"x","")</f>
        <v/>
      </c>
      <c r="V854" s="55" t="str">
        <f>IF(OR(TH!L854=TH!$V$7,M854=TH!$V$7),"x","")</f>
        <v/>
      </c>
      <c r="W854" s="55" t="str">
        <f>IF(AND(OR(L854="131",M854="131"),H854='131-CT'!$E$7),"x","")</f>
        <v/>
      </c>
      <c r="X854" s="55" t="str">
        <f>IF(AND(B854&gt;='IN-NX'!$P$3,B854&lt;='IN-NX'!$Q$3,'IN-NX'!$D$7=D854,OR(LEFT(TH!L854,2)="15",LEFT(TH!M854,2)="15")),"x","")</f>
        <v/>
      </c>
      <c r="Y854" s="55" t="str">
        <f>IF(AND(OR(LEFT(TH!L854,2)="15",LEFT(TH!M854,2)="15"),'152-CT'!$J$8=TH!F854),"x","")</f>
        <v/>
      </c>
      <c r="Z854" s="55" t="str">
        <f>IF(AND(OR(LEFT(TH!L854,2)="15",LEFT(TH!M854,2)="15"),TK!$E$7=TH!F854),"x","")</f>
        <v/>
      </c>
      <c r="AA854" s="55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>
        <f>IF(C855&lt;&gt;"",MONTH(C855),"")</f>
        <v>10</v>
      </c>
      <c r="C855" s="37">
        <v>41199</v>
      </c>
      <c r="D855" s="37" t="s">
        <v>405</v>
      </c>
      <c r="E855" s="37">
        <v>41199</v>
      </c>
      <c r="F855" s="40" t="s">
        <v>407</v>
      </c>
      <c r="G855" s="580" t="s">
        <v>401</v>
      </c>
      <c r="H855" s="207"/>
      <c r="I855" s="277"/>
      <c r="J855" s="277"/>
      <c r="K855" s="38">
        <v>25000</v>
      </c>
      <c r="L855" s="39" t="s">
        <v>87</v>
      </c>
      <c r="M855" s="39" t="s">
        <v>24</v>
      </c>
      <c r="N855" s="55" t="str">
        <f>IF(AND('331-CT'!$E$7=TH!H855,OR(L855="331",M855="331")),"x","")</f>
        <v/>
      </c>
      <c r="O855" s="55" t="str">
        <f>IF(AND($B855&gt;='111'!$N$11,$B855&lt;='111'!$O$11,OR($L855=$O$7,$M855=$O$7)),"x","")</f>
        <v/>
      </c>
      <c r="P855" s="55" t="str">
        <f>IF(AND($L855=$O$7,$B855&lt;'111'!$N$11),"x","")</f>
        <v/>
      </c>
      <c r="Q855" s="55" t="str">
        <f>IF(AND($M855=$O$7,$B855&lt;'111'!$N$11),"x","")</f>
        <v/>
      </c>
      <c r="R855" s="55" t="str">
        <f>IF(ISERROR(FIND('112'!$M$9,G855,1)),"",IF((AND(FIND('112'!$M$9,G855,1)&gt;=1,$B855&gt;='112'!$N$8,$B855&lt;='112'!$O$8,OR($L855='112'!$I$6,$M855='112'!$I$6))),"x",""))</f>
        <v/>
      </c>
      <c r="S855" s="55" t="str">
        <f>IF(ISERROR(FIND('112'!$M$9,G855,1)),"",IF((AND(LEFT(G855,2)=LEFT('112'!$M$9,2),B855&lt;'112'!$N$8,$L855='112'!$I$6)),"x",""))</f>
        <v/>
      </c>
      <c r="T855" s="55" t="str">
        <f>IF(ISERROR(FIND('112'!$M$9,G855,1)),"",IF((AND(RIGHT(G855,2)=RIGHT('112'!$M$9,2),B855&lt;'112'!$N$8,$M855='112'!$I$6)),"x",""))</f>
        <v/>
      </c>
      <c r="U855" s="55" t="str">
        <f>IF(AND('3411-CT'!$F$9=H855,OR(LEFT(L855,3)=$U$7,LEFT(M855,3)=$U$7)),"x","")</f>
        <v/>
      </c>
      <c r="V855" s="55" t="str">
        <f>IF(OR(TH!L855=TH!$V$7,M855=TH!$V$7),"x","")</f>
        <v/>
      </c>
      <c r="W855" s="55" t="str">
        <f>IF(AND(OR(L855="131",M855="131"),H855='131-CT'!$E$7),"x","")</f>
        <v/>
      </c>
      <c r="X855" s="55" t="str">
        <f>IF(AND(B855&gt;='IN-NX'!$P$3,B855&lt;='IN-NX'!$Q$3,'IN-NX'!$D$7=D855,OR(LEFT(TH!L855,2)="15",LEFT(TH!M855,2)="15")),"x","")</f>
        <v/>
      </c>
      <c r="Y855" s="55" t="str">
        <f>IF(AND(OR(LEFT(TH!L855,2)="15",LEFT(TH!M855,2)="15"),'152-CT'!$J$8=TH!F855),"x","")</f>
        <v/>
      </c>
      <c r="Z855" s="55" t="str">
        <f>IF(AND(OR(LEFT(TH!L855,2)="15",LEFT(TH!M855,2)="15"),TK!$E$7=TH!F855),"x","")</f>
        <v/>
      </c>
      <c r="AA855" s="55" t="str">
        <f>IF(AND(B855&lt;=NKC!$N$8,B855&gt;=NKC!$M$8),"x","")</f>
        <v/>
      </c>
    </row>
    <row r="856" spans="1:30" s="226" customFormat="1" ht="17.25" customHeight="1">
      <c r="A856" s="219" t="str">
        <f>IF(B856&lt;&gt;"",IF(AND(B856&gt;=_TM1,B856&lt;=_TM2,OR(TH!L856="1111",TH!M856="1111")),TH!D856,""),"")</f>
        <v/>
      </c>
      <c r="B856" s="36">
        <f t="shared" si="37"/>
        <v>10</v>
      </c>
      <c r="C856" s="37">
        <v>41199</v>
      </c>
      <c r="D856" s="37" t="s">
        <v>405</v>
      </c>
      <c r="E856" s="37">
        <v>41199</v>
      </c>
      <c r="F856" s="40" t="s">
        <v>455</v>
      </c>
      <c r="G856" s="580" t="s">
        <v>401</v>
      </c>
      <c r="H856" s="45"/>
      <c r="I856" s="277"/>
      <c r="J856" s="277"/>
      <c r="K856" s="38">
        <v>5000000</v>
      </c>
      <c r="L856" s="208" t="s">
        <v>8</v>
      </c>
      <c r="M856" s="39" t="s">
        <v>24</v>
      </c>
      <c r="N856" s="55" t="str">
        <f>IF(AND('331-CT'!$E$7=TH!H856,OR(L856="331",M856="331")),"x","")</f>
        <v/>
      </c>
      <c r="O856" s="55" t="str">
        <f>IF(AND($B856&gt;='111'!$N$11,$B856&lt;='111'!$O$11,OR($L856=$O$7,$M856=$O$7)),"x","")</f>
        <v/>
      </c>
      <c r="P856" s="55" t="str">
        <f>IF(AND($L856=$O$7,$B856&lt;'111'!$N$11),"x","")</f>
        <v/>
      </c>
      <c r="Q856" s="55" t="str">
        <f>IF(AND($M856=$O$7,$B856&lt;'111'!$N$11),"x","")</f>
        <v/>
      </c>
      <c r="R856" s="55" t="str">
        <f>IF(ISERROR(FIND('112'!$M$9,G856,1)),"",IF((AND(FIND('112'!$M$9,G856,1)&gt;=1,$B856&gt;='112'!$N$8,$B856&lt;='112'!$O$8,OR($L856='112'!$I$6,$M856='112'!$I$6))),"x",""))</f>
        <v/>
      </c>
      <c r="S856" s="55" t="str">
        <f>IF(ISERROR(FIND('112'!$M$9,G856,1)),"",IF((AND(LEFT(G856,2)=LEFT('112'!$M$9,2),B856&lt;'112'!$N$8,$L856='112'!$I$6)),"x",""))</f>
        <v/>
      </c>
      <c r="T856" s="55" t="str">
        <f>IF(ISERROR(FIND('112'!$M$9,G856,1)),"",IF((AND(RIGHT(G856,2)=RIGHT('112'!$M$9,2),B856&lt;'112'!$N$8,$M856='112'!$I$6)),"x",""))</f>
        <v/>
      </c>
      <c r="U856" s="55" t="str">
        <f>IF(AND('3411-CT'!$F$9=H856,OR(LEFT(L856,3)=$U$7,LEFT(M856,3)=$U$7)),"x","")</f>
        <v/>
      </c>
      <c r="V856" s="55" t="str">
        <f>IF(OR(TH!L856=TH!$V$7,M856=TH!$V$7),"x","")</f>
        <v/>
      </c>
      <c r="W856" s="55" t="str">
        <f>IF(AND(OR(L856="131",M856="131"),H856='131-CT'!$E$7),"x","")</f>
        <v/>
      </c>
      <c r="X856" s="55" t="str">
        <f>IF(AND(B856&gt;='IN-NX'!$P$3,B856&lt;='IN-NX'!$Q$3,'IN-NX'!$D$7=D856,OR(LEFT(TH!L856,2)="15",LEFT(TH!M856,2)="15")),"x","")</f>
        <v/>
      </c>
      <c r="Y856" s="55" t="str">
        <f>IF(AND(OR(LEFT(TH!L856,2)="15",LEFT(TH!M856,2)="15"),'152-CT'!$J$8=TH!F856),"x","")</f>
        <v/>
      </c>
      <c r="Z856" s="55" t="str">
        <f>IF(AND(OR(LEFT(TH!L856,2)="15",LEFT(TH!M856,2)="15"),TK!$E$7=TH!F856),"x","")</f>
        <v/>
      </c>
      <c r="AA856" s="55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>
        <f t="shared" ref="B857:B865" si="38">IF(C857&lt;&gt;"",MONTH(C857),"")</f>
        <v>10</v>
      </c>
      <c r="C857" s="37">
        <v>41199</v>
      </c>
      <c r="D857" s="205" t="s">
        <v>405</v>
      </c>
      <c r="E857" s="37">
        <v>41199</v>
      </c>
      <c r="F857" s="40" t="s">
        <v>407</v>
      </c>
      <c r="G857" s="580" t="s">
        <v>401</v>
      </c>
      <c r="H857" s="7"/>
      <c r="I857" s="277"/>
      <c r="J857" s="277"/>
      <c r="K857" s="38">
        <v>10000</v>
      </c>
      <c r="L857" s="39" t="s">
        <v>87</v>
      </c>
      <c r="M857" s="39" t="s">
        <v>24</v>
      </c>
      <c r="N857" s="55" t="str">
        <f>IF(AND('331-CT'!$E$7=TH!H857,OR(L857="331",M857="331")),"x","")</f>
        <v/>
      </c>
      <c r="O857" s="55" t="str">
        <f>IF(AND($B857&gt;='111'!$N$11,$B857&lt;='111'!$O$11,OR($L857=$O$7,$M857=$O$7)),"x","")</f>
        <v/>
      </c>
      <c r="P857" s="55" t="str">
        <f>IF(AND($L857=$O$7,$B857&lt;'111'!$N$11),"x","")</f>
        <v/>
      </c>
      <c r="Q857" s="55" t="str">
        <f>IF(AND($M857=$O$7,$B857&lt;'111'!$N$11),"x","")</f>
        <v/>
      </c>
      <c r="R857" s="55" t="str">
        <f>IF(ISERROR(FIND('112'!$M$9,G857,1)),"",IF((AND(FIND('112'!$M$9,G857,1)&gt;=1,$B857&gt;='112'!$N$8,$B857&lt;='112'!$O$8,OR($L857='112'!$I$6,$M857='112'!$I$6))),"x",""))</f>
        <v/>
      </c>
      <c r="S857" s="55" t="str">
        <f>IF(ISERROR(FIND('112'!$M$9,G857,1)),"",IF((AND(LEFT(G857,2)=LEFT('112'!$M$9,2),B857&lt;'112'!$N$8,$L857='112'!$I$6)),"x",""))</f>
        <v/>
      </c>
      <c r="T857" s="55" t="str">
        <f>IF(ISERROR(FIND('112'!$M$9,G857,1)),"",IF((AND(RIGHT(G857,2)=RIGHT('112'!$M$9,2),B857&lt;'112'!$N$8,$M857='112'!$I$6)),"x",""))</f>
        <v/>
      </c>
      <c r="U857" s="55" t="str">
        <f>IF(AND('3411-CT'!$F$9=H857,OR(LEFT(L857,3)=$U$7,LEFT(M857,3)=$U$7)),"x","")</f>
        <v/>
      </c>
      <c r="V857" s="55" t="str">
        <f>IF(OR(TH!L857=TH!$V$7,M857=TH!$V$7),"x","")</f>
        <v/>
      </c>
      <c r="W857" s="55" t="str">
        <f>IF(AND(OR(L857="131",M857="131"),H857='131-CT'!$E$7),"x","")</f>
        <v/>
      </c>
      <c r="X857" s="55" t="str">
        <f>IF(AND(B857&gt;='IN-NX'!$P$3,B857&lt;='IN-NX'!$Q$3,'IN-NX'!$D$7=D857,OR(LEFT(TH!L857,2)="15",LEFT(TH!M857,2)="15")),"x","")</f>
        <v/>
      </c>
      <c r="Y857" s="55" t="str">
        <f>IF(AND(OR(LEFT(TH!L857,2)="15",LEFT(TH!M857,2)="15"),'152-CT'!$J$8=TH!F857),"x","")</f>
        <v/>
      </c>
      <c r="Z857" s="55" t="str">
        <f>IF(AND(OR(LEFT(TH!L857,2)="15",LEFT(TH!M857,2)="15"),TK!$E$7=TH!F857),"x","")</f>
        <v/>
      </c>
      <c r="AA857" s="55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38"/>
        <v>10</v>
      </c>
      <c r="C858" s="37">
        <v>41199</v>
      </c>
      <c r="D858" s="205" t="s">
        <v>405</v>
      </c>
      <c r="E858" s="37">
        <v>41199</v>
      </c>
      <c r="F858" s="40" t="s">
        <v>865</v>
      </c>
      <c r="G858" s="580" t="s">
        <v>401</v>
      </c>
      <c r="H858" s="7"/>
      <c r="I858" s="277"/>
      <c r="J858" s="277"/>
      <c r="K858" s="38">
        <v>16479</v>
      </c>
      <c r="L858" s="39" t="s">
        <v>87</v>
      </c>
      <c r="M858" s="39" t="s">
        <v>24</v>
      </c>
      <c r="N858" s="55" t="str">
        <f>IF(AND('331-CT'!$E$7=TH!H858,OR(L858="331",M858="331")),"x","")</f>
        <v/>
      </c>
      <c r="O858" s="55" t="str">
        <f>IF(AND($B858&gt;='111'!$N$11,$B858&lt;='111'!$O$11,OR($L858=$O$7,$M858=$O$7)),"x","")</f>
        <v/>
      </c>
      <c r="P858" s="55" t="str">
        <f>IF(AND($L858=$O$7,$B858&lt;'111'!$N$11),"x","")</f>
        <v/>
      </c>
      <c r="Q858" s="55" t="str">
        <f>IF(AND($M858=$O$7,$B858&lt;'111'!$N$11),"x","")</f>
        <v/>
      </c>
      <c r="R858" s="55" t="str">
        <f>IF(ISERROR(FIND('112'!$M$9,G858,1)),"",IF((AND(FIND('112'!$M$9,G858,1)&gt;=1,$B858&gt;='112'!$N$8,$B858&lt;='112'!$O$8,OR($L858='112'!$I$6,$M858='112'!$I$6))),"x",""))</f>
        <v/>
      </c>
      <c r="S858" s="55" t="str">
        <f>IF(ISERROR(FIND('112'!$M$9,G858,1)),"",IF((AND(LEFT(G858,2)=LEFT('112'!$M$9,2),B858&lt;'112'!$N$8,$L858='112'!$I$6)),"x",""))</f>
        <v/>
      </c>
      <c r="T858" s="55" t="str">
        <f>IF(ISERROR(FIND('112'!$M$9,G858,1)),"",IF((AND(RIGHT(G858,2)=RIGHT('112'!$M$9,2),B858&lt;'112'!$N$8,$M858='112'!$I$6)),"x",""))</f>
        <v/>
      </c>
      <c r="U858" s="55" t="str">
        <f>IF(AND('3411-CT'!$F$9=H858,OR(LEFT(L858,3)=$U$7,LEFT(M858,3)=$U$7)),"x","")</f>
        <v/>
      </c>
      <c r="V858" s="55" t="str">
        <f>IF(OR(TH!L858=TH!$V$7,M858=TH!$V$7),"x","")</f>
        <v/>
      </c>
      <c r="W858" s="55" t="str">
        <f>IF(AND(OR(L858="131",M858="131"),H858='131-CT'!$E$7),"x","")</f>
        <v/>
      </c>
      <c r="X858" s="55" t="str">
        <f>IF(AND(B858&gt;='IN-NX'!$P$3,B858&lt;='IN-NX'!$Q$3,'IN-NX'!$D$7=D858,OR(LEFT(TH!L858,2)="15",LEFT(TH!M858,2)="15")),"x","")</f>
        <v/>
      </c>
      <c r="Y858" s="55" t="str">
        <f>IF(AND(OR(LEFT(TH!L858,2)="15",LEFT(TH!M858,2)="15"),'152-CT'!$J$8=TH!F858),"x","")</f>
        <v/>
      </c>
      <c r="Z858" s="55" t="str">
        <f>IF(AND(OR(LEFT(TH!L858,2)="15",LEFT(TH!M858,2)="15"),TK!$E$7=TH!F858),"x","")</f>
        <v/>
      </c>
      <c r="AA858" s="55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38"/>
        <v>10</v>
      </c>
      <c r="C859" s="37">
        <v>41204</v>
      </c>
      <c r="D859" s="205" t="s">
        <v>404</v>
      </c>
      <c r="E859" s="37">
        <v>41204</v>
      </c>
      <c r="F859" s="40" t="s">
        <v>406</v>
      </c>
      <c r="G859" s="580" t="s">
        <v>401</v>
      </c>
      <c r="H859" s="7" t="s">
        <v>1131</v>
      </c>
      <c r="I859" s="277"/>
      <c r="J859" s="277"/>
      <c r="K859" s="38">
        <v>45878580</v>
      </c>
      <c r="L859" s="39" t="s">
        <v>24</v>
      </c>
      <c r="M859" s="39" t="s">
        <v>311</v>
      </c>
      <c r="N859" s="55" t="str">
        <f>IF(AND('331-CT'!$E$7=TH!H859,OR(L859="331",M859="331")),"x","")</f>
        <v/>
      </c>
      <c r="O859" s="55" t="str">
        <f>IF(AND($B859&gt;='111'!$N$11,$B859&lt;='111'!$O$11,OR($L859=$O$7,$M859=$O$7)),"x","")</f>
        <v/>
      </c>
      <c r="P859" s="55" t="str">
        <f>IF(AND($L859=$O$7,$B859&lt;'111'!$N$11),"x","")</f>
        <v/>
      </c>
      <c r="Q859" s="55" t="str">
        <f>IF(AND($M859=$O$7,$B859&lt;'111'!$N$11),"x","")</f>
        <v/>
      </c>
      <c r="R859" s="55" t="str">
        <f>IF(ISERROR(FIND('112'!$M$9,G859,1)),"",IF((AND(FIND('112'!$M$9,G859,1)&gt;=1,$B859&gt;='112'!$N$8,$B859&lt;='112'!$O$8,OR($L859='112'!$I$6,$M859='112'!$I$6))),"x",""))</f>
        <v/>
      </c>
      <c r="S859" s="55" t="str">
        <f>IF(ISERROR(FIND('112'!$M$9,G859,1)),"",IF((AND(LEFT(G859,2)=LEFT('112'!$M$9,2),B859&lt;'112'!$N$8,$L859='112'!$I$6)),"x",""))</f>
        <v/>
      </c>
      <c r="T859" s="55" t="str">
        <f>IF(ISERROR(FIND('112'!$M$9,G859,1)),"",IF((AND(RIGHT(G859,2)=RIGHT('112'!$M$9,2),B859&lt;'112'!$N$8,$M859='112'!$I$6)),"x",""))</f>
        <v/>
      </c>
      <c r="U859" s="55" t="str">
        <f>IF(AND('3411-CT'!$F$9=H859,OR(LEFT(L859,3)=$U$7,LEFT(M859,3)=$U$7)),"x","")</f>
        <v/>
      </c>
      <c r="V859" s="55" t="str">
        <f>IF(OR(TH!L859=TH!$V$7,M859=TH!$V$7),"x","")</f>
        <v/>
      </c>
      <c r="W859" s="55" t="str">
        <f>IF(AND(OR(L859="131",M859="131"),H859='131-CT'!$E$7),"x","")</f>
        <v/>
      </c>
      <c r="X859" s="55" t="str">
        <f>IF(AND(B859&gt;='IN-NX'!$P$3,B859&lt;='IN-NX'!$Q$3,'IN-NX'!$D$7=D859,OR(LEFT(TH!L859,2)="15",LEFT(TH!M859,2)="15")),"x","")</f>
        <v/>
      </c>
      <c r="Y859" s="55" t="str">
        <f>IF(AND(OR(LEFT(TH!L859,2)="15",LEFT(TH!M859,2)="15"),'152-CT'!$J$8=TH!F859),"x","")</f>
        <v/>
      </c>
      <c r="Z859" s="55" t="str">
        <f>IF(AND(OR(LEFT(TH!L859,2)="15",LEFT(TH!M859,2)="15"),TK!$E$7=TH!F859),"x","")</f>
        <v/>
      </c>
      <c r="AA859" s="55" t="str">
        <f>IF(AND(B859&lt;=NKC!$N$8,B859&gt;=NKC!$M$8),"x","")</f>
        <v/>
      </c>
      <c r="AD859" s="689"/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38"/>
        <v>10</v>
      </c>
      <c r="C860" s="37">
        <v>41204</v>
      </c>
      <c r="D860" s="205" t="s">
        <v>515</v>
      </c>
      <c r="E860" s="37">
        <v>41204</v>
      </c>
      <c r="F860" s="331" t="s">
        <v>1046</v>
      </c>
      <c r="G860" s="580" t="s">
        <v>1069</v>
      </c>
      <c r="H860" s="7" t="s">
        <v>487</v>
      </c>
      <c r="I860" s="277">
        <v>340</v>
      </c>
      <c r="J860" s="277">
        <v>20290</v>
      </c>
      <c r="K860" s="38">
        <v>6898600</v>
      </c>
      <c r="L860" s="39" t="s">
        <v>186</v>
      </c>
      <c r="M860" s="699" t="s">
        <v>8</v>
      </c>
      <c r="N860" s="55" t="str">
        <f>IF(AND('331-CT'!$E$7=TH!H860,OR(L860="331",M860="331")),"x","")</f>
        <v/>
      </c>
      <c r="O860" s="55" t="str">
        <f>IF(AND($B860&gt;='111'!$N$11,$B860&lt;='111'!$O$11,OR($L860=$O$7,$M860=$O$7)),"x","")</f>
        <v/>
      </c>
      <c r="P860" s="55" t="str">
        <f>IF(AND($L860=$O$7,$B860&lt;'111'!$N$11),"x","")</f>
        <v/>
      </c>
      <c r="Q860" s="55" t="str">
        <f>IF(AND($M860=$O$7,$B860&lt;'111'!$N$11),"x","")</f>
        <v/>
      </c>
      <c r="R860" s="55" t="str">
        <f>IF(ISERROR(FIND('112'!$M$9,G860,1)),"",IF((AND(FIND('112'!$M$9,G860,1)&gt;=1,$B860&gt;='112'!$N$8,$B860&lt;='112'!$O$8,OR($L860='112'!$I$6,$M860='112'!$I$6))),"x",""))</f>
        <v/>
      </c>
      <c r="S860" s="55" t="str">
        <f>IF(ISERROR(FIND('112'!$M$9,G860,1)),"",IF((AND(LEFT(G860,2)=LEFT('112'!$M$9,2),B860&lt;'112'!$N$8,$L860='112'!$I$6)),"x",""))</f>
        <v/>
      </c>
      <c r="T860" s="55" t="str">
        <f>IF(ISERROR(FIND('112'!$M$9,G860,1)),"",IF((AND(RIGHT(G860,2)=RIGHT('112'!$M$9,2),B860&lt;'112'!$N$8,$M860='112'!$I$6)),"x",""))</f>
        <v/>
      </c>
      <c r="U860" s="55" t="str">
        <f>IF(AND('3411-CT'!$F$9=H860,OR(LEFT(L860,3)=$U$7,LEFT(M860,3)=$U$7)),"x","")</f>
        <v/>
      </c>
      <c r="V860" s="55" t="str">
        <f>IF(OR(TH!L860=TH!$V$7,M860=TH!$V$7),"x","")</f>
        <v/>
      </c>
      <c r="W860" s="55" t="str">
        <f>IF(AND(OR(L860="131",M860="131"),H860='131-CT'!$E$7),"x","")</f>
        <v/>
      </c>
      <c r="X860" s="55" t="str">
        <f>IF(AND(B860&gt;='IN-NX'!$P$3,B860&lt;='IN-NX'!$Q$3,'IN-NX'!$D$7=D860,OR(LEFT(TH!L860,2)="15",LEFT(TH!M860,2)="15")),"x","")</f>
        <v/>
      </c>
      <c r="Y860" s="55" t="str">
        <f>IF(AND(OR(LEFT(TH!L860,2)="15",LEFT(TH!M860,2)="15"),'152-CT'!$J$8=TH!F860),"x","")</f>
        <v/>
      </c>
      <c r="Z860" s="55" t="str">
        <f>IF(AND(OR(LEFT(TH!L860,2)="15",LEFT(TH!M860,2)="15"),TK!$E$7=TH!F860),"x","")</f>
        <v/>
      </c>
      <c r="AA860" s="55" t="str">
        <f>IF(AND(B860&lt;=NKC!$N$8,B860&gt;=NKC!$M$8),"x","")</f>
        <v/>
      </c>
      <c r="AC860" s="226" t="str">
        <f>IF(ISNA(VLOOKUP(F860,NXT!$C$18:$C$347,1,0)),x,"")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38"/>
        <v>10</v>
      </c>
      <c r="C861" s="37">
        <v>41204</v>
      </c>
      <c r="D861" s="205" t="s">
        <v>515</v>
      </c>
      <c r="E861" s="37">
        <v>41204</v>
      </c>
      <c r="F861" s="331" t="s">
        <v>1059</v>
      </c>
      <c r="G861" s="580" t="s">
        <v>1069</v>
      </c>
      <c r="H861" s="7" t="s">
        <v>487</v>
      </c>
      <c r="I861" s="277">
        <v>4000</v>
      </c>
      <c r="J861" s="277">
        <v>19979</v>
      </c>
      <c r="K861" s="38">
        <v>79916000</v>
      </c>
      <c r="L861" s="39" t="s">
        <v>186</v>
      </c>
      <c r="M861" s="699" t="s">
        <v>8</v>
      </c>
      <c r="N861" s="55" t="str">
        <f>IF(AND('331-CT'!$E$7=TH!H861,OR(L861="331",M861="331")),"x","")</f>
        <v/>
      </c>
      <c r="O861" s="55" t="str">
        <f>IF(AND($B861&gt;='111'!$N$11,$B861&lt;='111'!$O$11,OR($L861=$O$7,$M861=$O$7)),"x","")</f>
        <v/>
      </c>
      <c r="P861" s="55" t="str">
        <f>IF(AND($L861=$O$7,$B861&lt;'111'!$N$11),"x","")</f>
        <v/>
      </c>
      <c r="Q861" s="55" t="str">
        <f>IF(AND($M861=$O$7,$B861&lt;'111'!$N$11),"x","")</f>
        <v/>
      </c>
      <c r="R861" s="55" t="str">
        <f>IF(ISERROR(FIND('112'!$M$9,G861,1)),"",IF((AND(FIND('112'!$M$9,G861,1)&gt;=1,$B861&gt;='112'!$N$8,$B861&lt;='112'!$O$8,OR($L861='112'!$I$6,$M861='112'!$I$6))),"x",""))</f>
        <v/>
      </c>
      <c r="S861" s="55" t="str">
        <f>IF(ISERROR(FIND('112'!$M$9,G861,1)),"",IF((AND(LEFT(G861,2)=LEFT('112'!$M$9,2),B861&lt;'112'!$N$8,$L861='112'!$I$6)),"x",""))</f>
        <v/>
      </c>
      <c r="T861" s="55" t="str">
        <f>IF(ISERROR(FIND('112'!$M$9,G861,1)),"",IF((AND(RIGHT(G861,2)=RIGHT('112'!$M$9,2),B861&lt;'112'!$N$8,$M861='112'!$I$6)),"x",""))</f>
        <v/>
      </c>
      <c r="U861" s="55" t="str">
        <f>IF(AND('3411-CT'!$F$9=H861,OR(LEFT(L861,3)=$U$7,LEFT(M861,3)=$U$7)),"x","")</f>
        <v/>
      </c>
      <c r="V861" s="55" t="str">
        <f>IF(OR(TH!L861=TH!$V$7,M861=TH!$V$7),"x","")</f>
        <v/>
      </c>
      <c r="W861" s="55" t="str">
        <f>IF(AND(OR(L861="131",M861="131"),H861='131-CT'!$E$7),"x","")</f>
        <v/>
      </c>
      <c r="X861" s="55" t="str">
        <f>IF(AND(B861&gt;='IN-NX'!$P$3,B861&lt;='IN-NX'!$Q$3,'IN-NX'!$D$7=D861,OR(LEFT(TH!L861,2)="15",LEFT(TH!M861,2)="15")),"x","")</f>
        <v/>
      </c>
      <c r="Y861" s="55" t="str">
        <f>IF(AND(OR(LEFT(TH!L861,2)="15",LEFT(TH!M861,2)="15"),'152-CT'!$J$8=TH!F861),"x","")</f>
        <v/>
      </c>
      <c r="Z861" s="55" t="str">
        <f>IF(AND(OR(LEFT(TH!L861,2)="15",LEFT(TH!M861,2)="15"),TK!$E$7=TH!F861),"x","")</f>
        <v/>
      </c>
      <c r="AA861" s="55" t="str">
        <f>IF(AND(B861&lt;=NKC!$N$8,B861&gt;=NKC!$M$8),"x","")</f>
        <v/>
      </c>
      <c r="AC861" s="226" t="str">
        <f>IF(ISNA(VLOOKUP(F861,NXT!$C$18:$C$347,1,0)),x,"")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38"/>
        <v>10</v>
      </c>
      <c r="C862" s="37">
        <v>41204</v>
      </c>
      <c r="D862" s="205" t="s">
        <v>515</v>
      </c>
      <c r="E862" s="37">
        <v>41204</v>
      </c>
      <c r="F862" s="331" t="s">
        <v>573</v>
      </c>
      <c r="G862" s="580" t="s">
        <v>1069</v>
      </c>
      <c r="H862" s="7" t="s">
        <v>487</v>
      </c>
      <c r="I862" s="277"/>
      <c r="J862" s="277"/>
      <c r="K862" s="38">
        <v>8681460</v>
      </c>
      <c r="L862" s="39" t="s">
        <v>9</v>
      </c>
      <c r="M862" s="699" t="s">
        <v>8</v>
      </c>
      <c r="N862" s="55" t="str">
        <f>IF(AND('331-CT'!$E$7=TH!H862,OR(L862="331",M862="331")),"x","")</f>
        <v/>
      </c>
      <c r="O862" s="55" t="str">
        <f>IF(AND($B862&gt;='111'!$N$11,$B862&lt;='111'!$O$11,OR($L862=$O$7,$M862=$O$7)),"x","")</f>
        <v/>
      </c>
      <c r="P862" s="55" t="str">
        <f>IF(AND($L862=$O$7,$B862&lt;'111'!$N$11),"x","")</f>
        <v/>
      </c>
      <c r="Q862" s="55" t="str">
        <f>IF(AND($M862=$O$7,$B862&lt;'111'!$N$11),"x","")</f>
        <v/>
      </c>
      <c r="R862" s="55" t="str">
        <f>IF(ISERROR(FIND('112'!$M$9,G862,1)),"",IF((AND(FIND('112'!$M$9,G862,1)&gt;=1,$B862&gt;='112'!$N$8,$B862&lt;='112'!$O$8,OR($L862='112'!$I$6,$M862='112'!$I$6))),"x",""))</f>
        <v/>
      </c>
      <c r="S862" s="55" t="str">
        <f>IF(ISERROR(FIND('112'!$M$9,G862,1)),"",IF((AND(LEFT(G862,2)=LEFT('112'!$M$9,2),B862&lt;'112'!$N$8,$L862='112'!$I$6)),"x",""))</f>
        <v/>
      </c>
      <c r="T862" s="55" t="str">
        <f>IF(ISERROR(FIND('112'!$M$9,G862,1)),"",IF((AND(RIGHT(G862,2)=RIGHT('112'!$M$9,2),B862&lt;'112'!$N$8,$M862='112'!$I$6)),"x",""))</f>
        <v/>
      </c>
      <c r="U862" s="55" t="str">
        <f>IF(AND('3411-CT'!$F$9=H862,OR(LEFT(L862,3)=$U$7,LEFT(M862,3)=$U$7)),"x","")</f>
        <v/>
      </c>
      <c r="V862" s="55" t="str">
        <f>IF(OR(TH!L862=TH!$V$7,M862=TH!$V$7),"x","")</f>
        <v/>
      </c>
      <c r="W862" s="55" t="str">
        <f>IF(AND(OR(L862="131",M862="131"),H862='131-CT'!$E$7),"x","")</f>
        <v/>
      </c>
      <c r="X862" s="55" t="str">
        <f>IF(AND(B862&gt;='IN-NX'!$P$3,B862&lt;='IN-NX'!$Q$3,'IN-NX'!$D$7=D862,OR(LEFT(TH!L862,2)="15",LEFT(TH!M862,2)="15")),"x","")</f>
        <v/>
      </c>
      <c r="Y862" s="55" t="str">
        <f>IF(AND(OR(LEFT(TH!L862,2)="15",LEFT(TH!M862,2)="15"),'152-CT'!$J$8=TH!F862),"x","")</f>
        <v/>
      </c>
      <c r="Z862" s="55" t="str">
        <f>IF(AND(OR(LEFT(TH!L862,2)="15",LEFT(TH!M862,2)="15"),TK!$E$7=TH!F862),"x","")</f>
        <v/>
      </c>
      <c r="AA862" s="55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>C05</v>
      </c>
      <c r="B863" s="36">
        <f t="shared" si="38"/>
        <v>10</v>
      </c>
      <c r="C863" s="37">
        <v>41205</v>
      </c>
      <c r="D863" s="205" t="s">
        <v>469</v>
      </c>
      <c r="E863" s="37">
        <v>41205</v>
      </c>
      <c r="F863" s="331" t="s">
        <v>727</v>
      </c>
      <c r="G863" s="580" t="s">
        <v>1070</v>
      </c>
      <c r="H863" s="7" t="s">
        <v>456</v>
      </c>
      <c r="I863" s="277"/>
      <c r="J863" s="277"/>
      <c r="K863" s="38">
        <v>3900000</v>
      </c>
      <c r="L863" s="39" t="s">
        <v>194</v>
      </c>
      <c r="M863" s="39" t="s">
        <v>49</v>
      </c>
      <c r="N863" s="55" t="str">
        <f>IF(AND('331-CT'!$E$7=TH!H863,OR(L863="331",M863="331")),"x","")</f>
        <v/>
      </c>
      <c r="O863" s="55" t="str">
        <f>IF(AND($B863&gt;='111'!$N$11,$B863&lt;='111'!$O$11,OR($L863=$O$7,$M863=$O$7)),"x","")</f>
        <v>x</v>
      </c>
      <c r="P863" s="55" t="str">
        <f>IF(AND($L863=$O$7,$B863&lt;'111'!$N$11),"x","")</f>
        <v/>
      </c>
      <c r="Q863" s="55" t="str">
        <f>IF(AND($M863=$O$7,$B863&lt;'111'!$N$11),"x","")</f>
        <v/>
      </c>
      <c r="R863" s="55" t="str">
        <f>IF(ISERROR(FIND('112'!$M$9,G863,1)),"",IF((AND(FIND('112'!$M$9,G863,1)&gt;=1,$B863&gt;='112'!$N$8,$B863&lt;='112'!$O$8,OR($L863='112'!$I$6,$M863='112'!$I$6))),"x",""))</f>
        <v/>
      </c>
      <c r="S863" s="55" t="str">
        <f>IF(ISERROR(FIND('112'!$M$9,G863,1)),"",IF((AND(LEFT(G863,2)=LEFT('112'!$M$9,2),B863&lt;'112'!$N$8,$L863='112'!$I$6)),"x",""))</f>
        <v/>
      </c>
      <c r="T863" s="55" t="str">
        <f>IF(ISERROR(FIND('112'!$M$9,G863,1)),"",IF((AND(RIGHT(G863,2)=RIGHT('112'!$M$9,2),B863&lt;'112'!$N$8,$M863='112'!$I$6)),"x",""))</f>
        <v/>
      </c>
      <c r="U863" s="55" t="str">
        <f>IF(AND('3411-CT'!$F$9=H863,OR(LEFT(L863,3)=$U$7,LEFT(M863,3)=$U$7)),"x","")</f>
        <v/>
      </c>
      <c r="V863" s="55" t="str">
        <f>IF(OR(TH!L863=TH!$V$7,M863=TH!$V$7),"x","")</f>
        <v/>
      </c>
      <c r="W863" s="55" t="str">
        <f>IF(AND(OR(L863="131",M863="131"),H863='131-CT'!$E$7),"x","")</f>
        <v/>
      </c>
      <c r="X863" s="55" t="str">
        <f>IF(AND(B863&gt;='IN-NX'!$P$3,B863&lt;='IN-NX'!$Q$3,'IN-NX'!$D$7=D863,OR(LEFT(TH!L863,2)="15",LEFT(TH!M863,2)="15")),"x","")</f>
        <v/>
      </c>
      <c r="Y863" s="55" t="str">
        <f>IF(AND(OR(LEFT(TH!L863,2)="15",LEFT(TH!M863,2)="15"),'152-CT'!$J$8=TH!F863),"x","")</f>
        <v/>
      </c>
      <c r="Z863" s="55" t="str">
        <f>IF(AND(OR(LEFT(TH!L863,2)="15",LEFT(TH!M863,2)="15"),TK!$E$7=TH!F863),"x","")</f>
        <v/>
      </c>
      <c r="AA863" s="55" t="str">
        <f>IF(AND(B863&lt;=NKC!$N$8,B863&gt;=NKC!$M$8),"x","")</f>
        <v/>
      </c>
    </row>
    <row r="864" spans="1:30" s="226" customFormat="1" ht="15.75" customHeight="1">
      <c r="A864" s="219" t="str">
        <f>IF(B864&lt;&gt;"",IF(AND(B864&gt;=_TM1,B864&lt;=_TM2,OR(TH!L864="1111",TH!M864="1111")),TH!D864,""),"")</f>
        <v>C05</v>
      </c>
      <c r="B864" s="36">
        <f t="shared" si="38"/>
        <v>10</v>
      </c>
      <c r="C864" s="37">
        <v>41205</v>
      </c>
      <c r="D864" s="205" t="s">
        <v>469</v>
      </c>
      <c r="E864" s="37">
        <v>41205</v>
      </c>
      <c r="F864" s="331" t="s">
        <v>413</v>
      </c>
      <c r="G864" s="580" t="s">
        <v>1070</v>
      </c>
      <c r="H864" s="7" t="s">
        <v>456</v>
      </c>
      <c r="I864" s="277"/>
      <c r="J864" s="277"/>
      <c r="K864" s="38">
        <v>390000</v>
      </c>
      <c r="L864" s="39" t="s">
        <v>9</v>
      </c>
      <c r="M864" s="39" t="s">
        <v>49</v>
      </c>
      <c r="N864" s="55" t="str">
        <f>IF(AND('331-CT'!$E$7=TH!H864,OR(L864="331",M864="331")),"x","")</f>
        <v/>
      </c>
      <c r="O864" s="55" t="str">
        <f>IF(AND($B864&gt;='111'!$N$11,$B864&lt;='111'!$O$11,OR($L864=$O$7,$M864=$O$7)),"x","")</f>
        <v>x</v>
      </c>
      <c r="P864" s="55" t="str">
        <f>IF(AND($L864=$O$7,$B864&lt;'111'!$N$11),"x","")</f>
        <v/>
      </c>
      <c r="Q864" s="55" t="str">
        <f>IF(AND($M864=$O$7,$B864&lt;'111'!$N$11),"x","")</f>
        <v/>
      </c>
      <c r="R864" s="55" t="str">
        <f>IF(ISERROR(FIND('112'!$M$9,G864,1)),"",IF((AND(FIND('112'!$M$9,G864,1)&gt;=1,$B864&gt;='112'!$N$8,$B864&lt;='112'!$O$8,OR($L864='112'!$I$6,$M864='112'!$I$6))),"x",""))</f>
        <v/>
      </c>
      <c r="S864" s="55" t="str">
        <f>IF(ISERROR(FIND('112'!$M$9,G864,1)),"",IF((AND(LEFT(G864,2)=LEFT('112'!$M$9,2),B864&lt;'112'!$N$8,$L864='112'!$I$6)),"x",""))</f>
        <v/>
      </c>
      <c r="T864" s="55" t="str">
        <f>IF(ISERROR(FIND('112'!$M$9,G864,1)),"",IF((AND(RIGHT(G864,2)=RIGHT('112'!$M$9,2),B864&lt;'112'!$N$8,$M864='112'!$I$6)),"x",""))</f>
        <v/>
      </c>
      <c r="U864" s="55" t="str">
        <f>IF(AND('3411-CT'!$F$9=H864,OR(LEFT(L864,3)=$U$7,LEFT(M864,3)=$U$7)),"x","")</f>
        <v/>
      </c>
      <c r="V864" s="55" t="str">
        <f>IF(OR(TH!L864=TH!$V$7,M864=TH!$V$7),"x","")</f>
        <v/>
      </c>
      <c r="W864" s="55" t="str">
        <f>IF(AND(OR(L864="131",M864="131"),H864='131-CT'!$E$7),"x","")</f>
        <v/>
      </c>
      <c r="X864" s="55" t="str">
        <f>IF(AND(B864&gt;='IN-NX'!$P$3,B864&lt;='IN-NX'!$Q$3,'IN-NX'!$D$7=D864,OR(LEFT(TH!L864,2)="15",LEFT(TH!M864,2)="15")),"x","")</f>
        <v/>
      </c>
      <c r="Y864" s="55" t="str">
        <f>IF(AND(OR(LEFT(TH!L864,2)="15",LEFT(TH!M864,2)="15"),'152-CT'!$J$8=TH!F864),"x","")</f>
        <v/>
      </c>
      <c r="Z864" s="55" t="str">
        <f>IF(AND(OR(LEFT(TH!L864,2)="15",LEFT(TH!M864,2)="15"),TK!$E$7=TH!F864),"x","")</f>
        <v/>
      </c>
      <c r="AA864" s="55" t="str">
        <f>IF(AND(B864&lt;=NKC!$N$8,B864&gt;=NKC!$M$8),"x","")</f>
        <v/>
      </c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>
        <f t="shared" si="38"/>
        <v>10</v>
      </c>
      <c r="C865" s="37">
        <v>41205</v>
      </c>
      <c r="D865" s="205" t="s">
        <v>516</v>
      </c>
      <c r="E865" s="37">
        <v>41205</v>
      </c>
      <c r="F865" s="331" t="s">
        <v>1071</v>
      </c>
      <c r="G865" s="580" t="s">
        <v>1072</v>
      </c>
      <c r="H865" s="7" t="s">
        <v>487</v>
      </c>
      <c r="I865" s="277">
        <v>470</v>
      </c>
      <c r="J865" s="277">
        <v>11113</v>
      </c>
      <c r="K865" s="38">
        <v>5223110</v>
      </c>
      <c r="L865" s="39" t="s">
        <v>186</v>
      </c>
      <c r="M865" s="699" t="s">
        <v>8</v>
      </c>
      <c r="N865" s="55" t="str">
        <f>IF(AND('331-CT'!$E$7=TH!H865,OR(L865="331",M865="331")),"x","")</f>
        <v/>
      </c>
      <c r="O865" s="55" t="str">
        <f>IF(AND($B865&gt;='111'!$N$11,$B865&lt;='111'!$O$11,OR($L865=$O$7,$M865=$O$7)),"x","")</f>
        <v/>
      </c>
      <c r="P865" s="55" t="str">
        <f>IF(AND($L865=$O$7,$B865&lt;'111'!$N$11),"x","")</f>
        <v/>
      </c>
      <c r="Q865" s="55" t="str">
        <f>IF(AND($M865=$O$7,$B865&lt;'111'!$N$11),"x","")</f>
        <v/>
      </c>
      <c r="R865" s="55" t="str">
        <f>IF(ISERROR(FIND('112'!$M$9,G865,1)),"",IF((AND(FIND('112'!$M$9,G865,1)&gt;=1,$B865&gt;='112'!$N$8,$B865&lt;='112'!$O$8,OR($L865='112'!$I$6,$M865='112'!$I$6))),"x",""))</f>
        <v/>
      </c>
      <c r="S865" s="55" t="str">
        <f>IF(ISERROR(FIND('112'!$M$9,G865,1)),"",IF((AND(LEFT(G865,2)=LEFT('112'!$M$9,2),B865&lt;'112'!$N$8,$L865='112'!$I$6)),"x",""))</f>
        <v/>
      </c>
      <c r="T865" s="55" t="str">
        <f>IF(ISERROR(FIND('112'!$M$9,G865,1)),"",IF((AND(RIGHT(G865,2)=RIGHT('112'!$M$9,2),B865&lt;'112'!$N$8,$M865='112'!$I$6)),"x",""))</f>
        <v/>
      </c>
      <c r="U865" s="55" t="str">
        <f>IF(AND('3411-CT'!$F$9=H865,OR(LEFT(L865,3)=$U$7,LEFT(M865,3)=$U$7)),"x","")</f>
        <v/>
      </c>
      <c r="V865" s="55" t="str">
        <f>IF(OR(TH!L865=TH!$V$7,M865=TH!$V$7),"x","")</f>
        <v/>
      </c>
      <c r="W865" s="55" t="str">
        <f>IF(AND(OR(L865="131",M865="131"),H865='131-CT'!$E$7),"x","")</f>
        <v/>
      </c>
      <c r="X865" s="55" t="str">
        <f>IF(AND(B865&gt;='IN-NX'!$P$3,B865&lt;='IN-NX'!$Q$3,'IN-NX'!$D$7=D865,OR(LEFT(TH!L865,2)="15",LEFT(TH!M865,2)="15")),"x","")</f>
        <v/>
      </c>
      <c r="Y865" s="55" t="str">
        <f>IF(AND(OR(LEFT(TH!L865,2)="15",LEFT(TH!M865,2)="15"),'152-CT'!$J$8=TH!F865),"x","")</f>
        <v/>
      </c>
      <c r="Z865" s="55" t="str">
        <f>IF(AND(OR(LEFT(TH!L865,2)="15",LEFT(TH!M865,2)="15"),TK!$E$7=TH!F865),"x","")</f>
        <v/>
      </c>
      <c r="AA865" s="55" t="str">
        <f>IF(AND(B865&lt;=NKC!$N$8,B865&gt;=NKC!$M$8),"x","")</f>
        <v/>
      </c>
      <c r="AC865" s="226" t="str">
        <f>IF(ISNA(VLOOKUP(F865,NXT!$C$18:$C$347,1,0)),x,"")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>
        <f t="shared" si="37"/>
        <v>10</v>
      </c>
      <c r="C866" s="37">
        <v>41205</v>
      </c>
      <c r="D866" s="205" t="s">
        <v>516</v>
      </c>
      <c r="E866" s="37">
        <v>41205</v>
      </c>
      <c r="F866" s="40" t="s">
        <v>788</v>
      </c>
      <c r="G866" s="580" t="s">
        <v>1072</v>
      </c>
      <c r="H866" s="7" t="s">
        <v>487</v>
      </c>
      <c r="I866" s="277">
        <v>200</v>
      </c>
      <c r="J866" s="277">
        <v>15825</v>
      </c>
      <c r="K866" s="38">
        <v>3165000</v>
      </c>
      <c r="L866" s="39" t="s">
        <v>186</v>
      </c>
      <c r="M866" s="699" t="s">
        <v>8</v>
      </c>
      <c r="N866" s="55" t="str">
        <f>IF(AND('331-CT'!$E$7=TH!H866,OR(L866="331",M866="331")),"x","")</f>
        <v/>
      </c>
      <c r="O866" s="55" t="str">
        <f>IF(AND($B866&gt;='111'!$N$11,$B866&lt;='111'!$O$11,OR($L866=$O$7,$M866=$O$7)),"x","")</f>
        <v/>
      </c>
      <c r="P866" s="55" t="str">
        <f>IF(AND($L866=$O$7,$B866&lt;'111'!$N$11),"x","")</f>
        <v/>
      </c>
      <c r="Q866" s="55" t="str">
        <f>IF(AND($M866=$O$7,$B866&lt;'111'!$N$11),"x","")</f>
        <v/>
      </c>
      <c r="R866" s="55" t="str">
        <f>IF(ISERROR(FIND('112'!$M$9,G866,1)),"",IF((AND(FIND('112'!$M$9,G866,1)&gt;=1,$B866&gt;='112'!$N$8,$B866&lt;='112'!$O$8,OR($L866='112'!$I$6,$M866='112'!$I$6))),"x",""))</f>
        <v/>
      </c>
      <c r="S866" s="55" t="str">
        <f>IF(ISERROR(FIND('112'!$M$9,G866,1)),"",IF((AND(LEFT(G866,2)=LEFT('112'!$M$9,2),B866&lt;'112'!$N$8,$L866='112'!$I$6)),"x",""))</f>
        <v/>
      </c>
      <c r="T866" s="55" t="str">
        <f>IF(ISERROR(FIND('112'!$M$9,G866,1)),"",IF((AND(RIGHT(G866,2)=RIGHT('112'!$M$9,2),B866&lt;'112'!$N$8,$M866='112'!$I$6)),"x",""))</f>
        <v/>
      </c>
      <c r="U866" s="55" t="str">
        <f>IF(AND('3411-CT'!$F$9=H866,OR(LEFT(L866,3)=$U$7,LEFT(M866,3)=$U$7)),"x","")</f>
        <v/>
      </c>
      <c r="V866" s="55" t="str">
        <f>IF(OR(TH!L866=TH!$V$7,M866=TH!$V$7),"x","")</f>
        <v/>
      </c>
      <c r="W866" s="55" t="str">
        <f>IF(AND(OR(L866="131",M866="131"),H866='131-CT'!$E$7),"x","")</f>
        <v/>
      </c>
      <c r="X866" s="55" t="str">
        <f>IF(AND(B866&gt;='IN-NX'!$P$3,B866&lt;='IN-NX'!$Q$3,'IN-NX'!$D$7=D866,OR(LEFT(TH!L866,2)="15",LEFT(TH!M866,2)="15")),"x","")</f>
        <v/>
      </c>
      <c r="Y866" s="55" t="str">
        <f>IF(AND(OR(LEFT(TH!L866,2)="15",LEFT(TH!M866,2)="15"),'152-CT'!$J$8=TH!F866),"x","")</f>
        <v/>
      </c>
      <c r="Z866" s="55" t="str">
        <f>IF(AND(OR(LEFT(TH!L866,2)="15",LEFT(TH!M866,2)="15"),TK!$E$7=TH!F866),"x","")</f>
        <v/>
      </c>
      <c r="AA866" s="55" t="str">
        <f>IF(AND(B866&lt;=NKC!$N$8,B866&gt;=NKC!$M$8),"x","")</f>
        <v/>
      </c>
      <c r="AC866" s="226" t="str">
        <f>IF(ISNA(VLOOKUP(F866,NXT!$C$18:$C$347,1,0)),x,"")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>
        <f>IF(C867&lt;&gt;"",MONTH(C867),"")</f>
        <v>10</v>
      </c>
      <c r="C867" s="37">
        <v>41205</v>
      </c>
      <c r="D867" s="205" t="s">
        <v>516</v>
      </c>
      <c r="E867" s="37">
        <v>41205</v>
      </c>
      <c r="F867" s="40" t="s">
        <v>1073</v>
      </c>
      <c r="G867" s="580" t="s">
        <v>1072</v>
      </c>
      <c r="H867" s="7" t="s">
        <v>487</v>
      </c>
      <c r="I867" s="277">
        <v>50</v>
      </c>
      <c r="J867" s="277">
        <v>39995</v>
      </c>
      <c r="K867" s="38">
        <v>1999750</v>
      </c>
      <c r="L867" s="39" t="s">
        <v>186</v>
      </c>
      <c r="M867" s="699" t="s">
        <v>8</v>
      </c>
      <c r="N867" s="55" t="str">
        <f>IF(AND('331-CT'!$E$7=TH!H867,OR(L867="331",M867="331")),"x","")</f>
        <v/>
      </c>
      <c r="O867" s="55" t="str">
        <f>IF(AND($B867&gt;='111'!$N$11,$B867&lt;='111'!$O$11,OR($L867=$O$7,$M867=$O$7)),"x","")</f>
        <v/>
      </c>
      <c r="P867" s="55" t="str">
        <f>IF(AND($L867=$O$7,$B867&lt;'111'!$N$11),"x","")</f>
        <v/>
      </c>
      <c r="Q867" s="55" t="str">
        <f>IF(AND($M867=$O$7,$B867&lt;'111'!$N$11),"x","")</f>
        <v/>
      </c>
      <c r="R867" s="55" t="str">
        <f>IF(ISERROR(FIND('112'!$M$9,G867,1)),"",IF((AND(FIND('112'!$M$9,G867,1)&gt;=1,$B867&gt;='112'!$N$8,$B867&lt;='112'!$O$8,OR($L867='112'!$I$6,$M867='112'!$I$6))),"x",""))</f>
        <v/>
      </c>
      <c r="S867" s="55" t="str">
        <f>IF(ISERROR(FIND('112'!$M$9,G867,1)),"",IF((AND(LEFT(G867,2)=LEFT('112'!$M$9,2),B867&lt;'112'!$N$8,$L867='112'!$I$6)),"x",""))</f>
        <v/>
      </c>
      <c r="T867" s="55" t="str">
        <f>IF(ISERROR(FIND('112'!$M$9,G867,1)),"",IF((AND(RIGHT(G867,2)=RIGHT('112'!$M$9,2),B867&lt;'112'!$N$8,$M867='112'!$I$6)),"x",""))</f>
        <v/>
      </c>
      <c r="U867" s="55" t="str">
        <f>IF(AND('3411-CT'!$F$9=H867,OR(LEFT(L867,3)=$U$7,LEFT(M867,3)=$U$7)),"x","")</f>
        <v/>
      </c>
      <c r="V867" s="55" t="str">
        <f>IF(OR(TH!L867=TH!$V$7,M867=TH!$V$7),"x","")</f>
        <v/>
      </c>
      <c r="W867" s="55" t="str">
        <f>IF(AND(OR(L867="131",M867="131"),H867='131-CT'!$E$7),"x","")</f>
        <v/>
      </c>
      <c r="X867" s="55" t="str">
        <f>IF(AND(B867&gt;='IN-NX'!$P$3,B867&lt;='IN-NX'!$Q$3,'IN-NX'!$D$7=D867,OR(LEFT(TH!L867,2)="15",LEFT(TH!M867,2)="15")),"x","")</f>
        <v/>
      </c>
      <c r="Y867" s="55" t="str">
        <f>IF(AND(OR(LEFT(TH!L867,2)="15",LEFT(TH!M867,2)="15"),'152-CT'!$J$8=TH!F867),"x","")</f>
        <v/>
      </c>
      <c r="Z867" s="55" t="str">
        <f>IF(AND(OR(LEFT(TH!L867,2)="15",LEFT(TH!M867,2)="15"),TK!$E$7=TH!F867),"x","")</f>
        <v/>
      </c>
      <c r="AA867" s="55" t="str">
        <f>IF(AND(B867&lt;=NKC!$N$8,B867&gt;=NKC!$M$8),"x","")</f>
        <v/>
      </c>
      <c r="AC867" s="226" t="str">
        <f>IF(ISNA(VLOOKUP(F867,NXT!$C$18:$C$347,1,0)),x,"")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>
        <f t="shared" si="37"/>
        <v>10</v>
      </c>
      <c r="C868" s="37">
        <v>41205</v>
      </c>
      <c r="D868" s="205" t="s">
        <v>516</v>
      </c>
      <c r="E868" s="37">
        <v>41205</v>
      </c>
      <c r="F868" s="40" t="s">
        <v>573</v>
      </c>
      <c r="G868" s="580" t="s">
        <v>1072</v>
      </c>
      <c r="H868" s="7" t="s">
        <v>487</v>
      </c>
      <c r="I868" s="277"/>
      <c r="J868" s="277"/>
      <c r="K868" s="38">
        <v>1038786</v>
      </c>
      <c r="L868" s="39" t="s">
        <v>9</v>
      </c>
      <c r="M868" s="699" t="s">
        <v>8</v>
      </c>
      <c r="N868" s="55" t="str">
        <f>IF(AND('331-CT'!$E$7=TH!H868,OR(L868="331",M868="331")),"x","")</f>
        <v/>
      </c>
      <c r="O868" s="55" t="str">
        <f>IF(AND($B868&gt;='111'!$N$11,$B868&lt;='111'!$O$11,OR($L868=$O$7,$M868=$O$7)),"x","")</f>
        <v/>
      </c>
      <c r="P868" s="55" t="str">
        <f>IF(AND($L868=$O$7,$B868&lt;'111'!$N$11),"x","")</f>
        <v/>
      </c>
      <c r="Q868" s="55" t="str">
        <f>IF(AND($M868=$O$7,$B868&lt;'111'!$N$11),"x","")</f>
        <v/>
      </c>
      <c r="R868" s="55" t="str">
        <f>IF(ISERROR(FIND('112'!$M$9,G868,1)),"",IF((AND(FIND('112'!$M$9,G868,1)&gt;=1,$B868&gt;='112'!$N$8,$B868&lt;='112'!$O$8,OR($L868='112'!$I$6,$M868='112'!$I$6))),"x",""))</f>
        <v/>
      </c>
      <c r="S868" s="55" t="str">
        <f>IF(ISERROR(FIND('112'!$M$9,G868,1)),"",IF((AND(LEFT(G868,2)=LEFT('112'!$M$9,2),B868&lt;'112'!$N$8,$L868='112'!$I$6)),"x",""))</f>
        <v/>
      </c>
      <c r="T868" s="55" t="str">
        <f>IF(ISERROR(FIND('112'!$M$9,G868,1)),"",IF((AND(RIGHT(G868,2)=RIGHT('112'!$M$9,2),B868&lt;'112'!$N$8,$M868='112'!$I$6)),"x",""))</f>
        <v/>
      </c>
      <c r="U868" s="55" t="str">
        <f>IF(AND('3411-CT'!$F$9=H868,OR(LEFT(L868,3)=$U$7,LEFT(M868,3)=$U$7)),"x","")</f>
        <v/>
      </c>
      <c r="V868" s="55" t="str">
        <f>IF(OR(TH!L868=TH!$V$7,M868=TH!$V$7),"x","")</f>
        <v/>
      </c>
      <c r="W868" s="55" t="str">
        <f>IF(AND(OR(L868="131",M868="131"),H868='131-CT'!$E$7),"x","")</f>
        <v/>
      </c>
      <c r="X868" s="55" t="str">
        <f>IF(AND(B868&gt;='IN-NX'!$P$3,B868&lt;='IN-NX'!$Q$3,'IN-NX'!$D$7=D868,OR(LEFT(TH!L868,2)="15",LEFT(TH!M868,2)="15")),"x","")</f>
        <v/>
      </c>
      <c r="Y868" s="55" t="str">
        <f>IF(AND(OR(LEFT(TH!L868,2)="15",LEFT(TH!M868,2)="15"),'152-CT'!$J$8=TH!F868),"x","")</f>
        <v/>
      </c>
      <c r="Z868" s="55" t="str">
        <f>IF(AND(OR(LEFT(TH!L868,2)="15",LEFT(TH!M868,2)="15"),TK!$E$7=TH!F868),"x","")</f>
        <v/>
      </c>
      <c r="AA868" s="55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>C06</v>
      </c>
      <c r="B869" s="36">
        <f t="shared" si="37"/>
        <v>10</v>
      </c>
      <c r="C869" s="37">
        <v>41206</v>
      </c>
      <c r="D869" s="37" t="s">
        <v>470</v>
      </c>
      <c r="E869" s="37">
        <v>41206</v>
      </c>
      <c r="F869" s="40" t="s">
        <v>451</v>
      </c>
      <c r="G869" s="580" t="s">
        <v>401</v>
      </c>
      <c r="H869" s="45" t="s">
        <v>706</v>
      </c>
      <c r="I869" s="277"/>
      <c r="J869" s="277"/>
      <c r="K869" s="38">
        <v>4300000</v>
      </c>
      <c r="L869" s="39" t="s">
        <v>24</v>
      </c>
      <c r="M869" s="39" t="s">
        <v>49</v>
      </c>
      <c r="N869" s="55" t="str">
        <f>IF(AND('331-CT'!$E$7=TH!H869,OR(L869="331",M869="331")),"x","")</f>
        <v/>
      </c>
      <c r="O869" s="55" t="str">
        <f>IF(AND($B869&gt;='111'!$N$11,$B869&lt;='111'!$O$11,OR($L869=$O$7,$M869=$O$7)),"x","")</f>
        <v>x</v>
      </c>
      <c r="P869" s="55" t="str">
        <f>IF(AND($L869=$O$7,$B869&lt;'111'!$N$11),"x","")</f>
        <v/>
      </c>
      <c r="Q869" s="55" t="str">
        <f>IF(AND($M869=$O$7,$B869&lt;'111'!$N$11),"x","")</f>
        <v/>
      </c>
      <c r="R869" s="55" t="str">
        <f>IF(ISERROR(FIND('112'!$M$9,G869,1)),"",IF((AND(FIND('112'!$M$9,G869,1)&gt;=1,$B869&gt;='112'!$N$8,$B869&lt;='112'!$O$8,OR($L869='112'!$I$6,$M869='112'!$I$6))),"x",""))</f>
        <v/>
      </c>
      <c r="S869" s="55" t="str">
        <f>IF(ISERROR(FIND('112'!$M$9,G869,1)),"",IF((AND(LEFT(G869,2)=LEFT('112'!$M$9,2),B869&lt;'112'!$N$8,$L869='112'!$I$6)),"x",""))</f>
        <v/>
      </c>
      <c r="T869" s="55" t="str">
        <f>IF(ISERROR(FIND('112'!$M$9,G869,1)),"",IF((AND(RIGHT(G869,2)=RIGHT('112'!$M$9,2),B869&lt;'112'!$N$8,$M869='112'!$I$6)),"x",""))</f>
        <v/>
      </c>
      <c r="U869" s="55" t="str">
        <f>IF(AND('3411-CT'!$F$9=H869,OR(LEFT(L869,3)=$U$7,LEFT(M869,3)=$U$7)),"x","")</f>
        <v/>
      </c>
      <c r="V869" s="55" t="str">
        <f>IF(OR(TH!L869=TH!$V$7,M869=TH!$V$7),"x","")</f>
        <v/>
      </c>
      <c r="W869" s="55" t="str">
        <f>IF(AND(OR(L869="131",M869="131"),H869='131-CT'!$E$7),"x","")</f>
        <v/>
      </c>
      <c r="X869" s="55" t="str">
        <f>IF(AND(B869&gt;='IN-NX'!$P$3,B869&lt;='IN-NX'!$Q$3,'IN-NX'!$D$7=D869,OR(LEFT(TH!L869,2)="15",LEFT(TH!M869,2)="15")),"x","")</f>
        <v/>
      </c>
      <c r="Y869" s="55" t="str">
        <f>IF(AND(OR(LEFT(TH!L869,2)="15",LEFT(TH!M869,2)="15"),'152-CT'!$J$8=TH!F869),"x","")</f>
        <v/>
      </c>
      <c r="Z869" s="55" t="str">
        <f>IF(AND(OR(LEFT(TH!L869,2)="15",LEFT(TH!M869,2)="15"),TK!$E$7=TH!F869),"x","")</f>
        <v/>
      </c>
      <c r="AA869" s="55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>
        <f t="shared" si="37"/>
        <v>10</v>
      </c>
      <c r="C870" s="37">
        <v>41206</v>
      </c>
      <c r="D870" s="37" t="s">
        <v>404</v>
      </c>
      <c r="E870" s="37">
        <v>41206</v>
      </c>
      <c r="F870" s="40" t="s">
        <v>406</v>
      </c>
      <c r="G870" s="580" t="s">
        <v>401</v>
      </c>
      <c r="H870" s="7" t="s">
        <v>1146</v>
      </c>
      <c r="I870" s="277"/>
      <c r="J870" s="277"/>
      <c r="K870" s="38">
        <v>9806280</v>
      </c>
      <c r="L870" s="208" t="s">
        <v>24</v>
      </c>
      <c r="M870" s="39" t="s">
        <v>311</v>
      </c>
      <c r="N870" s="55" t="str">
        <f>IF(AND('331-CT'!$E$7=TH!H870,OR(L870="331",M870="331")),"x","")</f>
        <v/>
      </c>
      <c r="O870" s="55" t="str">
        <f>IF(AND($B870&gt;='111'!$N$11,$B870&lt;='111'!$O$11,OR($L870=$O$7,$M870=$O$7)),"x","")</f>
        <v/>
      </c>
      <c r="P870" s="55" t="str">
        <f>IF(AND($L870=$O$7,$B870&lt;'111'!$N$11),"x","")</f>
        <v/>
      </c>
      <c r="Q870" s="55" t="str">
        <f>IF(AND($M870=$O$7,$B870&lt;'111'!$N$11),"x","")</f>
        <v/>
      </c>
      <c r="R870" s="55" t="str">
        <f>IF(ISERROR(FIND('112'!$M$9,G870,1)),"",IF((AND(FIND('112'!$M$9,G870,1)&gt;=1,$B870&gt;='112'!$N$8,$B870&lt;='112'!$O$8,OR($L870='112'!$I$6,$M870='112'!$I$6))),"x",""))</f>
        <v/>
      </c>
      <c r="S870" s="55" t="str">
        <f>IF(ISERROR(FIND('112'!$M$9,G870,1)),"",IF((AND(LEFT(G870,2)=LEFT('112'!$M$9,2),B870&lt;'112'!$N$8,$L870='112'!$I$6)),"x",""))</f>
        <v/>
      </c>
      <c r="T870" s="55" t="str">
        <f>IF(ISERROR(FIND('112'!$M$9,G870,1)),"",IF((AND(RIGHT(G870,2)=RIGHT('112'!$M$9,2),B870&lt;'112'!$N$8,$M870='112'!$I$6)),"x",""))</f>
        <v/>
      </c>
      <c r="U870" s="55" t="str">
        <f>IF(AND('3411-CT'!$F$9=H870,OR(LEFT(L870,3)=$U$7,LEFT(M870,3)=$U$7)),"x","")</f>
        <v/>
      </c>
      <c r="V870" s="55" t="str">
        <f>IF(OR(TH!L870=TH!$V$7,M870=TH!$V$7),"x","")</f>
        <v/>
      </c>
      <c r="W870" s="55" t="str">
        <f>IF(AND(OR(L870="131",M870="131"),H870='131-CT'!$E$7),"x","")</f>
        <v/>
      </c>
      <c r="X870" s="55" t="str">
        <f>IF(AND(B870&gt;='IN-NX'!$P$3,B870&lt;='IN-NX'!$Q$3,'IN-NX'!$D$7=D870,OR(LEFT(TH!L870,2)="15",LEFT(TH!M870,2)="15")),"x","")</f>
        <v/>
      </c>
      <c r="Y870" s="55" t="str">
        <f>IF(AND(OR(LEFT(TH!L870,2)="15",LEFT(TH!M870,2)="15"),'152-CT'!$J$8=TH!F870),"x","")</f>
        <v/>
      </c>
      <c r="Z870" s="55" t="str">
        <f>IF(AND(OR(LEFT(TH!L870,2)="15",LEFT(TH!M870,2)="15"),TK!$E$7=TH!F870),"x","")</f>
        <v/>
      </c>
      <c r="AA870" s="55" t="str">
        <f>IF(AND(B870&lt;=NKC!$N$8,B870&gt;=NKC!$M$8),"x","")</f>
        <v/>
      </c>
      <c r="AD870" s="689"/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37"/>
        <v>10</v>
      </c>
      <c r="C871" s="37">
        <v>41206</v>
      </c>
      <c r="D871" s="37" t="s">
        <v>405</v>
      </c>
      <c r="E871" s="37">
        <v>41206</v>
      </c>
      <c r="F871" s="40" t="s">
        <v>455</v>
      </c>
      <c r="G871" s="580" t="s">
        <v>401</v>
      </c>
      <c r="H871" s="207"/>
      <c r="I871" s="277"/>
      <c r="J871" s="277"/>
      <c r="K871" s="38">
        <v>50000000</v>
      </c>
      <c r="L871" s="39" t="s">
        <v>8</v>
      </c>
      <c r="M871" s="39" t="s">
        <v>24</v>
      </c>
      <c r="N871" s="55" t="str">
        <f>IF(AND('331-CT'!$E$7=TH!H871,OR(L871="331",M871="331")),"x","")</f>
        <v/>
      </c>
      <c r="O871" s="55" t="str">
        <f>IF(AND($B871&gt;='111'!$N$11,$B871&lt;='111'!$O$11,OR($L871=$O$7,$M871=$O$7)),"x","")</f>
        <v/>
      </c>
      <c r="P871" s="55" t="str">
        <f>IF(AND($L871=$O$7,$B871&lt;'111'!$N$11),"x","")</f>
        <v/>
      </c>
      <c r="Q871" s="55" t="str">
        <f>IF(AND($M871=$O$7,$B871&lt;'111'!$N$11),"x","")</f>
        <v/>
      </c>
      <c r="R871" s="55" t="str">
        <f>IF(ISERROR(FIND('112'!$M$9,G871,1)),"",IF((AND(FIND('112'!$M$9,G871,1)&gt;=1,$B871&gt;='112'!$N$8,$B871&lt;='112'!$O$8,OR($L871='112'!$I$6,$M871='112'!$I$6))),"x",""))</f>
        <v/>
      </c>
      <c r="S871" s="55" t="str">
        <f>IF(ISERROR(FIND('112'!$M$9,G871,1)),"",IF((AND(LEFT(G871,2)=LEFT('112'!$M$9,2),B871&lt;'112'!$N$8,$L871='112'!$I$6)),"x",""))</f>
        <v/>
      </c>
      <c r="T871" s="55" t="str">
        <f>IF(ISERROR(FIND('112'!$M$9,G871,1)),"",IF((AND(RIGHT(G871,2)=RIGHT('112'!$M$9,2),B871&lt;'112'!$N$8,$M871='112'!$I$6)),"x",""))</f>
        <v/>
      </c>
      <c r="U871" s="55" t="str">
        <f>IF(AND('3411-CT'!$F$9=H871,OR(LEFT(L871,3)=$U$7,LEFT(M871,3)=$U$7)),"x","")</f>
        <v/>
      </c>
      <c r="V871" s="55" t="str">
        <f>IF(OR(TH!L871=TH!$V$7,M871=TH!$V$7),"x","")</f>
        <v/>
      </c>
      <c r="W871" s="55" t="str">
        <f>IF(AND(OR(L871="131",M871="131"),H871='131-CT'!$E$7),"x","")</f>
        <v/>
      </c>
      <c r="X871" s="55" t="str">
        <f>IF(AND(B871&gt;='IN-NX'!$P$3,B871&lt;='IN-NX'!$Q$3,'IN-NX'!$D$7=D871,OR(LEFT(TH!L871,2)="15",LEFT(TH!M871,2)="15")),"x","")</f>
        <v/>
      </c>
      <c r="Y871" s="55" t="str">
        <f>IF(AND(OR(LEFT(TH!L871,2)="15",LEFT(TH!M871,2)="15"),'152-CT'!$J$8=TH!F871),"x","")</f>
        <v/>
      </c>
      <c r="Z871" s="55" t="str">
        <f>IF(AND(OR(LEFT(TH!L871,2)="15",LEFT(TH!M871,2)="15"),TK!$E$7=TH!F871),"x","")</f>
        <v/>
      </c>
      <c r="AA871" s="55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si="37"/>
        <v>10</v>
      </c>
      <c r="C872" s="37">
        <v>41206</v>
      </c>
      <c r="D872" s="37" t="s">
        <v>405</v>
      </c>
      <c r="E872" s="37">
        <v>41206</v>
      </c>
      <c r="F872" s="40" t="s">
        <v>407</v>
      </c>
      <c r="G872" s="580" t="s">
        <v>401</v>
      </c>
      <c r="H872" s="45"/>
      <c r="I872" s="277"/>
      <c r="J872" s="277"/>
      <c r="K872" s="38">
        <v>25000</v>
      </c>
      <c r="L872" s="39" t="s">
        <v>87</v>
      </c>
      <c r="M872" s="39" t="s">
        <v>24</v>
      </c>
      <c r="N872" s="55" t="str">
        <f>IF(AND('331-CT'!$E$7=TH!H872,OR(L872="331",M872="331")),"x","")</f>
        <v/>
      </c>
      <c r="O872" s="55" t="str">
        <f>IF(AND($B872&gt;='111'!$N$11,$B872&lt;='111'!$O$11,OR($L872=$O$7,$M872=$O$7)),"x","")</f>
        <v/>
      </c>
      <c r="P872" s="55" t="str">
        <f>IF(AND($L872=$O$7,$B872&lt;'111'!$N$11),"x","")</f>
        <v/>
      </c>
      <c r="Q872" s="55" t="str">
        <f>IF(AND($M872=$O$7,$B872&lt;'111'!$N$11),"x","")</f>
        <v/>
      </c>
      <c r="R872" s="55" t="str">
        <f>IF(ISERROR(FIND('112'!$M$9,G872,1)),"",IF((AND(FIND('112'!$M$9,G872,1)&gt;=1,$B872&gt;='112'!$N$8,$B872&lt;='112'!$O$8,OR($L872='112'!$I$6,$M872='112'!$I$6))),"x",""))</f>
        <v/>
      </c>
      <c r="S872" s="55" t="str">
        <f>IF(ISERROR(FIND('112'!$M$9,G872,1)),"",IF((AND(LEFT(G872,2)=LEFT('112'!$M$9,2),B872&lt;'112'!$N$8,$L872='112'!$I$6)),"x",""))</f>
        <v/>
      </c>
      <c r="T872" s="55" t="str">
        <f>IF(ISERROR(FIND('112'!$M$9,G872,1)),"",IF((AND(RIGHT(G872,2)=RIGHT('112'!$M$9,2),B872&lt;'112'!$N$8,$M872='112'!$I$6)),"x",""))</f>
        <v/>
      </c>
      <c r="U872" s="55" t="str">
        <f>IF(AND('3411-CT'!$F$9=H872,OR(LEFT(L872,3)=$U$7,LEFT(M872,3)=$U$7)),"x","")</f>
        <v/>
      </c>
      <c r="V872" s="55" t="str">
        <f>IF(OR(TH!L872=TH!$V$7,M872=TH!$V$7),"x","")</f>
        <v/>
      </c>
      <c r="W872" s="55" t="str">
        <f>IF(AND(OR(L872="131",M872="131"),H872='131-CT'!$E$7),"x","")</f>
        <v/>
      </c>
      <c r="X872" s="55" t="str">
        <f>IF(AND(B872&gt;='IN-NX'!$P$3,B872&lt;='IN-NX'!$Q$3,'IN-NX'!$D$7=D872,OR(LEFT(TH!L872,2)="15",LEFT(TH!M872,2)="15")),"x","")</f>
        <v/>
      </c>
      <c r="Y872" s="55" t="str">
        <f>IF(AND(OR(LEFT(TH!L872,2)="15",LEFT(TH!M872,2)="15"),'152-CT'!$J$8=TH!F872),"x","")</f>
        <v/>
      </c>
      <c r="Z872" s="55" t="str">
        <f>IF(AND(OR(LEFT(TH!L872,2)="15",LEFT(TH!M872,2)="15"),TK!$E$7=TH!F872),"x","")</f>
        <v/>
      </c>
      <c r="AA872" s="55" t="str">
        <f>IF(AND(B872&lt;=NKC!$N$8,B872&gt;=NKC!$M$8),"x","")</f>
        <v/>
      </c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>
        <f t="shared" si="37"/>
        <v>10</v>
      </c>
      <c r="C873" s="37">
        <v>41206</v>
      </c>
      <c r="D873" s="37" t="s">
        <v>405</v>
      </c>
      <c r="E873" s="37">
        <v>41206</v>
      </c>
      <c r="F873" s="40" t="s">
        <v>865</v>
      </c>
      <c r="G873" s="580" t="s">
        <v>401</v>
      </c>
      <c r="H873" s="45"/>
      <c r="I873" s="277"/>
      <c r="J873" s="277"/>
      <c r="K873" s="38">
        <v>10000</v>
      </c>
      <c r="L873" s="39" t="s">
        <v>87</v>
      </c>
      <c r="M873" s="39" t="s">
        <v>24</v>
      </c>
      <c r="N873" s="55" t="str">
        <f>IF(AND('331-CT'!$E$7=TH!H873,OR(L873="331",M873="331")),"x","")</f>
        <v/>
      </c>
      <c r="O873" s="55" t="str">
        <f>IF(AND($B873&gt;='111'!$N$11,$B873&lt;='111'!$O$11,OR($L873=$O$7,$M873=$O$7)),"x","")</f>
        <v/>
      </c>
      <c r="P873" s="55" t="str">
        <f>IF(AND($L873=$O$7,$B873&lt;'111'!$N$11),"x","")</f>
        <v/>
      </c>
      <c r="Q873" s="55" t="str">
        <f>IF(AND($M873=$O$7,$B873&lt;'111'!$N$11),"x","")</f>
        <v/>
      </c>
      <c r="R873" s="55" t="str">
        <f>IF(ISERROR(FIND('112'!$M$9,G873,1)),"",IF((AND(FIND('112'!$M$9,G873,1)&gt;=1,$B873&gt;='112'!$N$8,$B873&lt;='112'!$O$8,OR($L873='112'!$I$6,$M873='112'!$I$6))),"x",""))</f>
        <v/>
      </c>
      <c r="S873" s="55" t="str">
        <f>IF(ISERROR(FIND('112'!$M$9,G873,1)),"",IF((AND(LEFT(G873,2)=LEFT('112'!$M$9,2),B873&lt;'112'!$N$8,$L873='112'!$I$6)),"x",""))</f>
        <v/>
      </c>
      <c r="T873" s="55" t="str">
        <f>IF(ISERROR(FIND('112'!$M$9,G873,1)),"",IF((AND(RIGHT(G873,2)=RIGHT('112'!$M$9,2),B873&lt;'112'!$N$8,$M873='112'!$I$6)),"x",""))</f>
        <v/>
      </c>
      <c r="U873" s="55" t="str">
        <f>IF(AND('3411-CT'!$F$9=H873,OR(LEFT(L873,3)=$U$7,LEFT(M873,3)=$U$7)),"x","")</f>
        <v/>
      </c>
      <c r="V873" s="55" t="str">
        <f>IF(OR(TH!L873=TH!$V$7,M873=TH!$V$7),"x","")</f>
        <v/>
      </c>
      <c r="W873" s="55" t="str">
        <f>IF(AND(OR(L873="131",M873="131"),H873='131-CT'!$E$7),"x","")</f>
        <v/>
      </c>
      <c r="X873" s="55" t="str">
        <f>IF(AND(B873&gt;='IN-NX'!$P$3,B873&lt;='IN-NX'!$Q$3,'IN-NX'!$D$7=D873,OR(LEFT(TH!L873,2)="15",LEFT(TH!M873,2)="15")),"x","")</f>
        <v/>
      </c>
      <c r="Y873" s="55" t="str">
        <f>IF(AND(OR(LEFT(TH!L873,2)="15",LEFT(TH!M873,2)="15"),'152-CT'!$J$8=TH!F873),"x","")</f>
        <v/>
      </c>
      <c r="Z873" s="55" t="str">
        <f>IF(AND(OR(LEFT(TH!L873,2)="15",LEFT(TH!M873,2)="15"),TK!$E$7=TH!F873),"x","")</f>
        <v/>
      </c>
      <c r="AA873" s="55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37"/>
        <v>10</v>
      </c>
      <c r="C874" s="37">
        <v>41206</v>
      </c>
      <c r="D874" s="205" t="s">
        <v>517</v>
      </c>
      <c r="E874" s="37">
        <v>41206</v>
      </c>
      <c r="F874" s="40" t="s">
        <v>788</v>
      </c>
      <c r="G874" s="580" t="s">
        <v>1074</v>
      </c>
      <c r="H874" s="7" t="s">
        <v>487</v>
      </c>
      <c r="I874" s="277">
        <v>290</v>
      </c>
      <c r="J874" s="277">
        <v>15825</v>
      </c>
      <c r="K874" s="38">
        <v>4589250</v>
      </c>
      <c r="L874" s="39" t="s">
        <v>186</v>
      </c>
      <c r="M874" s="699" t="s">
        <v>8</v>
      </c>
      <c r="N874" s="55" t="str">
        <f>IF(AND('331-CT'!$E$7=TH!H874,OR(L874="331",M874="331")),"x","")</f>
        <v/>
      </c>
      <c r="O874" s="55" t="str">
        <f>IF(AND($B874&gt;='111'!$N$11,$B874&lt;='111'!$O$11,OR($L874=$O$7,$M874=$O$7)),"x","")</f>
        <v/>
      </c>
      <c r="P874" s="55" t="str">
        <f>IF(AND($L874=$O$7,$B874&lt;'111'!$N$11),"x","")</f>
        <v/>
      </c>
      <c r="Q874" s="55" t="str">
        <f>IF(AND($M874=$O$7,$B874&lt;'111'!$N$11),"x","")</f>
        <v/>
      </c>
      <c r="R874" s="55" t="str">
        <f>IF(ISERROR(FIND('112'!$M$9,G874,1)),"",IF((AND(FIND('112'!$M$9,G874,1)&gt;=1,$B874&gt;='112'!$N$8,$B874&lt;='112'!$O$8,OR($L874='112'!$I$6,$M874='112'!$I$6))),"x",""))</f>
        <v/>
      </c>
      <c r="S874" s="55" t="str">
        <f>IF(ISERROR(FIND('112'!$M$9,G874,1)),"",IF((AND(LEFT(G874,2)=LEFT('112'!$M$9,2),B874&lt;'112'!$N$8,$L874='112'!$I$6)),"x",""))</f>
        <v/>
      </c>
      <c r="T874" s="55" t="str">
        <f>IF(ISERROR(FIND('112'!$M$9,G874,1)),"",IF((AND(RIGHT(G874,2)=RIGHT('112'!$M$9,2),B874&lt;'112'!$N$8,$M874='112'!$I$6)),"x",""))</f>
        <v/>
      </c>
      <c r="U874" s="55" t="str">
        <f>IF(AND('3411-CT'!$F$9=H874,OR(LEFT(L874,3)=$U$7,LEFT(M874,3)=$U$7)),"x","")</f>
        <v/>
      </c>
      <c r="V874" s="55" t="str">
        <f>IF(OR(TH!L874=TH!$V$7,M874=TH!$V$7),"x","")</f>
        <v/>
      </c>
      <c r="W874" s="55" t="str">
        <f>IF(AND(OR(L874="131",M874="131"),H874='131-CT'!$E$7),"x","")</f>
        <v/>
      </c>
      <c r="X874" s="55" t="str">
        <f>IF(AND(B874&gt;='IN-NX'!$P$3,B874&lt;='IN-NX'!$Q$3,'IN-NX'!$D$7=D874,OR(LEFT(TH!L874,2)="15",LEFT(TH!M874,2)="15")),"x","")</f>
        <v/>
      </c>
      <c r="Y874" s="55" t="str">
        <f>IF(AND(OR(LEFT(TH!L874,2)="15",LEFT(TH!M874,2)="15"),'152-CT'!$J$8=TH!F874),"x","")</f>
        <v/>
      </c>
      <c r="Z874" s="55" t="str">
        <f>IF(AND(OR(LEFT(TH!L874,2)="15",LEFT(TH!M874,2)="15"),TK!$E$7=TH!F874),"x","")</f>
        <v/>
      </c>
      <c r="AA874" s="55" t="str">
        <f>IF(AND(B874&lt;=NKC!$N$8,B874&gt;=NKC!$M$8),"x","")</f>
        <v/>
      </c>
      <c r="AC874" s="226" t="str">
        <f>IF(ISNA(VLOOKUP(F874,NXT!$C$18:$C$347,1,0)),x,"")</f>
        <v/>
      </c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>
        <f t="shared" si="37"/>
        <v>10</v>
      </c>
      <c r="C875" s="37">
        <v>41206</v>
      </c>
      <c r="D875" s="205" t="s">
        <v>517</v>
      </c>
      <c r="E875" s="37">
        <v>41206</v>
      </c>
      <c r="F875" s="40" t="s">
        <v>573</v>
      </c>
      <c r="G875" s="580" t="s">
        <v>1074</v>
      </c>
      <c r="H875" s="7" t="s">
        <v>487</v>
      </c>
      <c r="I875" s="277"/>
      <c r="J875" s="277"/>
      <c r="K875" s="38">
        <v>458925</v>
      </c>
      <c r="L875" s="39" t="s">
        <v>9</v>
      </c>
      <c r="M875" s="699" t="s">
        <v>8</v>
      </c>
      <c r="N875" s="55" t="str">
        <f>IF(AND('331-CT'!$E$7=TH!H875,OR(L875="331",M875="331")),"x","")</f>
        <v/>
      </c>
      <c r="O875" s="55" t="str">
        <f>IF(AND($B875&gt;='111'!$N$11,$B875&lt;='111'!$O$11,OR($L875=$O$7,$M875=$O$7)),"x","")</f>
        <v/>
      </c>
      <c r="P875" s="55" t="str">
        <f>IF(AND($L875=$O$7,$B875&lt;'111'!$N$11),"x","")</f>
        <v/>
      </c>
      <c r="Q875" s="55" t="str">
        <f>IF(AND($M875=$O$7,$B875&lt;'111'!$N$11),"x","")</f>
        <v/>
      </c>
      <c r="R875" s="55" t="str">
        <f>IF(ISERROR(FIND('112'!$M$9,G875,1)),"",IF((AND(FIND('112'!$M$9,G875,1)&gt;=1,$B875&gt;='112'!$N$8,$B875&lt;='112'!$O$8,OR($L875='112'!$I$6,$M875='112'!$I$6))),"x",""))</f>
        <v/>
      </c>
      <c r="S875" s="55" t="str">
        <f>IF(ISERROR(FIND('112'!$M$9,G875,1)),"",IF((AND(LEFT(G875,2)=LEFT('112'!$M$9,2),B875&lt;'112'!$N$8,$L875='112'!$I$6)),"x",""))</f>
        <v/>
      </c>
      <c r="T875" s="55" t="str">
        <f>IF(ISERROR(FIND('112'!$M$9,G875,1)),"",IF((AND(RIGHT(G875,2)=RIGHT('112'!$M$9,2),B875&lt;'112'!$N$8,$M875='112'!$I$6)),"x",""))</f>
        <v/>
      </c>
      <c r="U875" s="55" t="str">
        <f>IF(AND('3411-CT'!$F$9=H875,OR(LEFT(L875,3)=$U$7,LEFT(M875,3)=$U$7)),"x","")</f>
        <v/>
      </c>
      <c r="V875" s="55" t="str">
        <f>IF(OR(TH!L875=TH!$V$7,M875=TH!$V$7),"x","")</f>
        <v/>
      </c>
      <c r="W875" s="55" t="str">
        <f>IF(AND(OR(L875="131",M875="131"),H875='131-CT'!$E$7),"x","")</f>
        <v/>
      </c>
      <c r="X875" s="55" t="str">
        <f>IF(AND(B875&gt;='IN-NX'!$P$3,B875&lt;='IN-NX'!$Q$3,'IN-NX'!$D$7=D875,OR(LEFT(TH!L875,2)="15",LEFT(TH!M875,2)="15")),"x","")</f>
        <v/>
      </c>
      <c r="Y875" s="55" t="str">
        <f>IF(AND(OR(LEFT(TH!L875,2)="15",LEFT(TH!M875,2)="15"),'152-CT'!$J$8=TH!F875),"x","")</f>
        <v/>
      </c>
      <c r="Z875" s="55" t="str">
        <f>IF(AND(OR(LEFT(TH!L875,2)="15",LEFT(TH!M875,2)="15"),TK!$E$7=TH!F875),"x","")</f>
        <v/>
      </c>
      <c r="AA875" s="55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>
        <f t="shared" si="37"/>
        <v>10</v>
      </c>
      <c r="C876" s="37">
        <v>41207</v>
      </c>
      <c r="D876" s="37" t="s">
        <v>404</v>
      </c>
      <c r="E876" s="37">
        <v>41207</v>
      </c>
      <c r="F876" s="40" t="s">
        <v>453</v>
      </c>
      <c r="G876" s="40" t="s">
        <v>401</v>
      </c>
      <c r="H876" s="45"/>
      <c r="I876" s="277"/>
      <c r="J876" s="277"/>
      <c r="K876" s="38">
        <v>12799</v>
      </c>
      <c r="L876" s="39" t="s">
        <v>24</v>
      </c>
      <c r="M876" s="39" t="s">
        <v>41</v>
      </c>
      <c r="N876" s="55" t="str">
        <f>IF(AND('331-CT'!$E$7=TH!H876,OR(L876="331",M876="331")),"x","")</f>
        <v/>
      </c>
      <c r="O876" s="55" t="str">
        <f>IF(AND($B876&gt;='111'!$N$11,$B876&lt;='111'!$O$11,OR($L876=$O$7,$M876=$O$7)),"x","")</f>
        <v/>
      </c>
      <c r="P876" s="55" t="str">
        <f>IF(AND($L876=$O$7,$B876&lt;'111'!$N$11),"x","")</f>
        <v/>
      </c>
      <c r="Q876" s="55" t="str">
        <f>IF(AND($M876=$O$7,$B876&lt;'111'!$N$11),"x","")</f>
        <v/>
      </c>
      <c r="R876" s="55" t="str">
        <f>IF(ISERROR(FIND('112'!$M$9,G876,1)),"",IF((AND(FIND('112'!$M$9,G876,1)&gt;=1,$B876&gt;='112'!$N$8,$B876&lt;='112'!$O$8,OR($L876='112'!$I$6,$M876='112'!$I$6))),"x",""))</f>
        <v/>
      </c>
      <c r="S876" s="55" t="str">
        <f>IF(ISERROR(FIND('112'!$M$9,G876,1)),"",IF((AND(LEFT(G876,2)=LEFT('112'!$M$9,2),B876&lt;'112'!$N$8,$L876='112'!$I$6)),"x",""))</f>
        <v/>
      </c>
      <c r="T876" s="55" t="str">
        <f>IF(ISERROR(FIND('112'!$M$9,G876,1)),"",IF((AND(RIGHT(G876,2)=RIGHT('112'!$M$9,2),B876&lt;'112'!$N$8,$M876='112'!$I$6)),"x",""))</f>
        <v/>
      </c>
      <c r="U876" s="55" t="str">
        <f>IF(AND('3411-CT'!$F$9=H876,OR(LEFT(L876,3)=$U$7,LEFT(M876,3)=$U$7)),"x","")</f>
        <v/>
      </c>
      <c r="V876" s="55" t="str">
        <f>IF(OR(TH!L876=TH!$V$7,M876=TH!$V$7),"x","")</f>
        <v/>
      </c>
      <c r="W876" s="55" t="str">
        <f>IF(AND(OR(L876="131",M876="131"),H876='131-CT'!$E$7),"x","")</f>
        <v/>
      </c>
      <c r="X876" s="55" t="str">
        <f>IF(AND(B876&gt;='IN-NX'!$P$3,B876&lt;='IN-NX'!$Q$3,'IN-NX'!$D$7=D876,OR(LEFT(TH!L876,2)="15",LEFT(TH!M876,2)="15")),"x","")</f>
        <v/>
      </c>
      <c r="Y876" s="55" t="str">
        <f>IF(AND(OR(LEFT(TH!L876,2)="15",LEFT(TH!M876,2)="15"),'152-CT'!$J$8=TH!F876),"x","")</f>
        <v/>
      </c>
      <c r="Z876" s="55" t="str">
        <f>IF(AND(OR(LEFT(TH!L876,2)="15",LEFT(TH!M876,2)="15"),TK!$E$7=TH!F876),"x","")</f>
        <v/>
      </c>
      <c r="AA876" s="55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>C07</v>
      </c>
      <c r="B877" s="36">
        <f t="shared" si="37"/>
        <v>10</v>
      </c>
      <c r="C877" s="37">
        <v>41207</v>
      </c>
      <c r="D877" s="37" t="s">
        <v>471</v>
      </c>
      <c r="E877" s="37">
        <v>41207</v>
      </c>
      <c r="F877" s="40" t="s">
        <v>1075</v>
      </c>
      <c r="G877" s="40" t="s">
        <v>1076</v>
      </c>
      <c r="H877" s="45" t="s">
        <v>456</v>
      </c>
      <c r="I877" s="277"/>
      <c r="J877" s="277"/>
      <c r="K877" s="38">
        <v>1380000</v>
      </c>
      <c r="L877" s="39" t="s">
        <v>194</v>
      </c>
      <c r="M877" s="39" t="s">
        <v>49</v>
      </c>
      <c r="N877" s="55" t="str">
        <f>IF(AND('331-CT'!$E$7=TH!H877,OR(L877="331",M877="331")),"x","")</f>
        <v/>
      </c>
      <c r="O877" s="55" t="str">
        <f>IF(AND($B877&gt;='111'!$N$11,$B877&lt;='111'!$O$11,OR($L877=$O$7,$M877=$O$7)),"x","")</f>
        <v>x</v>
      </c>
      <c r="P877" s="55" t="str">
        <f>IF(AND($L877=$O$7,$B877&lt;'111'!$N$11),"x","")</f>
        <v/>
      </c>
      <c r="Q877" s="55" t="str">
        <f>IF(AND($M877=$O$7,$B877&lt;'111'!$N$11),"x","")</f>
        <v/>
      </c>
      <c r="R877" s="55" t="str">
        <f>IF(ISERROR(FIND('112'!$M$9,G877,1)),"",IF((AND(FIND('112'!$M$9,G877,1)&gt;=1,$B877&gt;='112'!$N$8,$B877&lt;='112'!$O$8,OR($L877='112'!$I$6,$M877='112'!$I$6))),"x",""))</f>
        <v/>
      </c>
      <c r="S877" s="55" t="str">
        <f>IF(ISERROR(FIND('112'!$M$9,G877,1)),"",IF((AND(LEFT(G877,2)=LEFT('112'!$M$9,2),B877&lt;'112'!$N$8,$L877='112'!$I$6)),"x",""))</f>
        <v/>
      </c>
      <c r="T877" s="55" t="str">
        <f>IF(ISERROR(FIND('112'!$M$9,G877,1)),"",IF((AND(RIGHT(G877,2)=RIGHT('112'!$M$9,2),B877&lt;'112'!$N$8,$M877='112'!$I$6)),"x",""))</f>
        <v/>
      </c>
      <c r="U877" s="55" t="str">
        <f>IF(AND('3411-CT'!$F$9=H877,OR(LEFT(L877,3)=$U$7,LEFT(M877,3)=$U$7)),"x","")</f>
        <v/>
      </c>
      <c r="V877" s="55" t="str">
        <f>IF(OR(TH!L877=TH!$V$7,M877=TH!$V$7),"x","")</f>
        <v/>
      </c>
      <c r="W877" s="55" t="str">
        <f>IF(AND(OR(L877="131",M877="131"),H877='131-CT'!$E$7),"x","")</f>
        <v/>
      </c>
      <c r="X877" s="55" t="str">
        <f>IF(AND(B877&gt;='IN-NX'!$P$3,B877&lt;='IN-NX'!$Q$3,'IN-NX'!$D$7=D877,OR(LEFT(TH!L877,2)="15",LEFT(TH!M877,2)="15")),"x","")</f>
        <v/>
      </c>
      <c r="Y877" s="55" t="str">
        <f>IF(AND(OR(LEFT(TH!L877,2)="15",LEFT(TH!M877,2)="15"),'152-CT'!$J$8=TH!F877),"x","")</f>
        <v/>
      </c>
      <c r="Z877" s="55" t="str">
        <f>IF(AND(OR(LEFT(TH!L877,2)="15",LEFT(TH!M877,2)="15"),TK!$E$7=TH!F877),"x","")</f>
        <v/>
      </c>
      <c r="AA877" s="55" t="str">
        <f>IF(AND(B877&lt;=NKC!$N$8,B877&gt;=NKC!$M$8),"x","")</f>
        <v/>
      </c>
    </row>
    <row r="878" spans="1:30" s="226" customFormat="1" ht="15.75" customHeight="1">
      <c r="A878" s="219" t="str">
        <f>IF(B878&lt;&gt;"",IF(AND(B878&gt;=_TM1,B878&lt;=_TM2,OR(TH!L878="1111",TH!M878="1111")),TH!D878,""),"")</f>
        <v>C07</v>
      </c>
      <c r="B878" s="36">
        <f t="shared" si="37"/>
        <v>10</v>
      </c>
      <c r="C878" s="37">
        <v>41207</v>
      </c>
      <c r="D878" s="37" t="s">
        <v>471</v>
      </c>
      <c r="E878" s="37">
        <v>41207</v>
      </c>
      <c r="F878" s="40" t="s">
        <v>413</v>
      </c>
      <c r="G878" s="40" t="s">
        <v>1076</v>
      </c>
      <c r="H878" s="45" t="s">
        <v>456</v>
      </c>
      <c r="I878" s="277"/>
      <c r="J878" s="277"/>
      <c r="K878" s="38">
        <v>138000</v>
      </c>
      <c r="L878" s="39" t="s">
        <v>9</v>
      </c>
      <c r="M878" s="39" t="s">
        <v>49</v>
      </c>
      <c r="N878" s="55" t="str">
        <f>IF(AND('331-CT'!$E$7=TH!H878,OR(L878="331",M878="331")),"x","")</f>
        <v/>
      </c>
      <c r="O878" s="55" t="str">
        <f>IF(AND($B878&gt;='111'!$N$11,$B878&lt;='111'!$O$11,OR($L878=$O$7,$M878=$O$7)),"x","")</f>
        <v>x</v>
      </c>
      <c r="P878" s="55" t="str">
        <f>IF(AND($L878=$O$7,$B878&lt;'111'!$N$11),"x","")</f>
        <v/>
      </c>
      <c r="Q878" s="55" t="str">
        <f>IF(AND($M878=$O$7,$B878&lt;'111'!$N$11),"x","")</f>
        <v/>
      </c>
      <c r="R878" s="55" t="str">
        <f>IF(ISERROR(FIND('112'!$M$9,G878,1)),"",IF((AND(FIND('112'!$M$9,G878,1)&gt;=1,$B878&gt;='112'!$N$8,$B878&lt;='112'!$O$8,OR($L878='112'!$I$6,$M878='112'!$I$6))),"x",""))</f>
        <v/>
      </c>
      <c r="S878" s="55" t="str">
        <f>IF(ISERROR(FIND('112'!$M$9,G878,1)),"",IF((AND(LEFT(G878,2)=LEFT('112'!$M$9,2),B878&lt;'112'!$N$8,$L878='112'!$I$6)),"x",""))</f>
        <v/>
      </c>
      <c r="T878" s="55" t="str">
        <f>IF(ISERROR(FIND('112'!$M$9,G878,1)),"",IF((AND(RIGHT(G878,2)=RIGHT('112'!$M$9,2),B878&lt;'112'!$N$8,$M878='112'!$I$6)),"x",""))</f>
        <v/>
      </c>
      <c r="U878" s="55" t="str">
        <f>IF(AND('3411-CT'!$F$9=H878,OR(LEFT(L878,3)=$U$7,LEFT(M878,3)=$U$7)),"x","")</f>
        <v/>
      </c>
      <c r="V878" s="55" t="str">
        <f>IF(OR(TH!L878=TH!$V$7,M878=TH!$V$7),"x","")</f>
        <v/>
      </c>
      <c r="W878" s="55" t="str">
        <f>IF(AND(OR(L878="131",M878="131"),H878='131-CT'!$E$7),"x","")</f>
        <v/>
      </c>
      <c r="X878" s="55" t="str">
        <f>IF(AND(B878&gt;='IN-NX'!$P$3,B878&lt;='IN-NX'!$Q$3,'IN-NX'!$D$7=D878,OR(LEFT(TH!L878,2)="15",LEFT(TH!M878,2)="15")),"x","")</f>
        <v/>
      </c>
      <c r="Y878" s="55" t="str">
        <f>IF(AND(OR(LEFT(TH!L878,2)="15",LEFT(TH!M878,2)="15"),'152-CT'!$J$8=TH!F878),"x","")</f>
        <v/>
      </c>
      <c r="Z878" s="55" t="str">
        <f>IF(AND(OR(LEFT(TH!L878,2)="15",LEFT(TH!M878,2)="15"),TK!$E$7=TH!F878),"x","")</f>
        <v/>
      </c>
      <c r="AA878" s="55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37"/>
        <v>10</v>
      </c>
      <c r="C879" s="37">
        <v>41208</v>
      </c>
      <c r="D879" s="37" t="s">
        <v>404</v>
      </c>
      <c r="E879" s="37">
        <v>41208</v>
      </c>
      <c r="F879" s="40" t="s">
        <v>406</v>
      </c>
      <c r="G879" s="40" t="s">
        <v>401</v>
      </c>
      <c r="H879" s="7" t="s">
        <v>1133</v>
      </c>
      <c r="I879" s="278"/>
      <c r="J879" s="278"/>
      <c r="K879" s="38">
        <v>3296426</v>
      </c>
      <c r="L879" s="39" t="s">
        <v>24</v>
      </c>
      <c r="M879" s="39" t="s">
        <v>311</v>
      </c>
      <c r="N879" s="55" t="str">
        <f>IF(AND('331-CT'!$E$7=TH!H879,OR(L879="331",M879="331")),"x","")</f>
        <v/>
      </c>
      <c r="O879" s="55" t="str">
        <f>IF(AND($B879&gt;='111'!$N$11,$B879&lt;='111'!$O$11,OR($L879=$O$7,$M879=$O$7)),"x","")</f>
        <v/>
      </c>
      <c r="P879" s="55" t="str">
        <f>IF(AND($L879=$O$7,$B879&lt;'111'!$N$11),"x","")</f>
        <v/>
      </c>
      <c r="Q879" s="55" t="str">
        <f>IF(AND($M879=$O$7,$B879&lt;'111'!$N$11),"x","")</f>
        <v/>
      </c>
      <c r="R879" s="55" t="str">
        <f>IF(ISERROR(FIND('112'!$M$9,G879,1)),"",IF((AND(FIND('112'!$M$9,G879,1)&gt;=1,$B879&gt;='112'!$N$8,$B879&lt;='112'!$O$8,OR($L879='112'!$I$6,$M879='112'!$I$6))),"x",""))</f>
        <v/>
      </c>
      <c r="S879" s="55" t="str">
        <f>IF(ISERROR(FIND('112'!$M$9,G879,1)),"",IF((AND(LEFT(G879,2)=LEFT('112'!$M$9,2),B879&lt;'112'!$N$8,$L879='112'!$I$6)),"x",""))</f>
        <v/>
      </c>
      <c r="T879" s="55" t="str">
        <f>IF(ISERROR(FIND('112'!$M$9,G879,1)),"",IF((AND(RIGHT(G879,2)=RIGHT('112'!$M$9,2),B879&lt;'112'!$N$8,$M879='112'!$I$6)),"x",""))</f>
        <v/>
      </c>
      <c r="U879" s="55" t="str">
        <f>IF(AND('3411-CT'!$F$9=H879,OR(LEFT(L879,3)=$U$7,LEFT(M879,3)=$U$7)),"x","")</f>
        <v/>
      </c>
      <c r="V879" s="55" t="str">
        <f>IF(OR(TH!L879=TH!$V$7,M879=TH!$V$7),"x","")</f>
        <v/>
      </c>
      <c r="W879" s="55" t="str">
        <f>IF(AND(OR(L879="131",M879="131"),H879='131-CT'!$E$7),"x","")</f>
        <v/>
      </c>
      <c r="X879" s="55" t="str">
        <f>IF(AND(B879&gt;='IN-NX'!$P$3,B879&lt;='IN-NX'!$Q$3,'IN-NX'!$D$7=D879,OR(LEFT(TH!L879,2)="15",LEFT(TH!M879,2)="15")),"x","")</f>
        <v/>
      </c>
      <c r="Y879" s="55" t="str">
        <f>IF(AND(OR(LEFT(TH!L879,2)="15",LEFT(TH!M879,2)="15"),'152-CT'!$J$8=TH!F879),"x","")</f>
        <v/>
      </c>
      <c r="Z879" s="55" t="str">
        <f>IF(AND(OR(LEFT(TH!L879,2)="15",LEFT(TH!M879,2)="15"),TK!$E$7=TH!F879),"x","")</f>
        <v/>
      </c>
      <c r="AA879" s="55" t="str">
        <f>IF(AND(B879&lt;=NKC!$N$8,B879&gt;=NKC!$M$8),"x","")</f>
        <v/>
      </c>
      <c r="AD879" s="689"/>
    </row>
    <row r="880" spans="1:30" s="226" customFormat="1" ht="15.75" customHeight="1">
      <c r="A880" s="219" t="str">
        <f>IF(B880&lt;&gt;"",IF(AND(B880&gt;=_TM1,B880&lt;=_TM2,OR(TH!L880="1111",TH!M880="1111")),TH!D880,""),"")</f>
        <v>C08</v>
      </c>
      <c r="B880" s="36">
        <f t="shared" si="37"/>
        <v>10</v>
      </c>
      <c r="C880" s="37">
        <v>41209</v>
      </c>
      <c r="D880" s="37" t="s">
        <v>472</v>
      </c>
      <c r="E880" s="37">
        <v>41209</v>
      </c>
      <c r="F880" s="40" t="s">
        <v>451</v>
      </c>
      <c r="G880" s="40" t="s">
        <v>401</v>
      </c>
      <c r="H880" s="45" t="s">
        <v>706</v>
      </c>
      <c r="I880" s="277"/>
      <c r="J880" s="277"/>
      <c r="K880" s="38">
        <v>100000</v>
      </c>
      <c r="L880" s="39" t="s">
        <v>24</v>
      </c>
      <c r="M880" s="39" t="s">
        <v>49</v>
      </c>
      <c r="N880" s="55" t="str">
        <f>IF(AND('331-CT'!$E$7=TH!H880,OR(L880="331",M880="331")),"x","")</f>
        <v/>
      </c>
      <c r="O880" s="55" t="str">
        <f>IF(AND($B880&gt;='111'!$N$11,$B880&lt;='111'!$O$11,OR($L880=$O$7,$M880=$O$7)),"x","")</f>
        <v>x</v>
      </c>
      <c r="P880" s="55" t="str">
        <f>IF(AND($L880=$O$7,$B880&lt;'111'!$N$11),"x","")</f>
        <v/>
      </c>
      <c r="Q880" s="55" t="str">
        <f>IF(AND($M880=$O$7,$B880&lt;'111'!$N$11),"x","")</f>
        <v/>
      </c>
      <c r="R880" s="55" t="str">
        <f>IF(ISERROR(FIND('112'!$M$9,G880,1)),"",IF((AND(FIND('112'!$M$9,G880,1)&gt;=1,$B880&gt;='112'!$N$8,$B880&lt;='112'!$O$8,OR($L880='112'!$I$6,$M880='112'!$I$6))),"x",""))</f>
        <v/>
      </c>
      <c r="S880" s="55" t="str">
        <f>IF(ISERROR(FIND('112'!$M$9,G880,1)),"",IF((AND(LEFT(G880,2)=LEFT('112'!$M$9,2),B880&lt;'112'!$N$8,$L880='112'!$I$6)),"x",""))</f>
        <v/>
      </c>
      <c r="T880" s="55" t="str">
        <f>IF(ISERROR(FIND('112'!$M$9,G880,1)),"",IF((AND(RIGHT(G880,2)=RIGHT('112'!$M$9,2),B880&lt;'112'!$N$8,$M880='112'!$I$6)),"x",""))</f>
        <v/>
      </c>
      <c r="U880" s="55" t="str">
        <f>IF(AND('3411-CT'!$F$9=H880,OR(LEFT(L880,3)=$U$7,LEFT(M880,3)=$U$7)),"x","")</f>
        <v/>
      </c>
      <c r="V880" s="55" t="str">
        <f>IF(OR(TH!L880=TH!$V$7,M880=TH!$V$7),"x","")</f>
        <v/>
      </c>
      <c r="W880" s="55" t="str">
        <f>IF(AND(OR(L880="131",M880="131"),H880='131-CT'!$E$7),"x","")</f>
        <v/>
      </c>
      <c r="X880" s="55" t="str">
        <f>IF(AND(B880&gt;='IN-NX'!$P$3,B880&lt;='IN-NX'!$Q$3,'IN-NX'!$D$7=D880,OR(LEFT(TH!L880,2)="15",LEFT(TH!M880,2)="15")),"x","")</f>
        <v/>
      </c>
      <c r="Y880" s="55" t="str">
        <f>IF(AND(OR(LEFT(TH!L880,2)="15",LEFT(TH!M880,2)="15"),'152-CT'!$J$8=TH!F880),"x","")</f>
        <v/>
      </c>
      <c r="Z880" s="55" t="str">
        <f>IF(AND(OR(LEFT(TH!L880,2)="15",LEFT(TH!M880,2)="15"),TK!$E$7=TH!F880),"x","")</f>
        <v/>
      </c>
      <c r="AA880" s="55" t="str">
        <f>IF(AND(B880&lt;=NKC!$N$8,B880&gt;=NKC!$M$8),"x","")</f>
        <v/>
      </c>
    </row>
    <row r="881" spans="1:30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37"/>
        <v>10</v>
      </c>
      <c r="C881" s="37">
        <v>41209</v>
      </c>
      <c r="D881" s="37" t="s">
        <v>405</v>
      </c>
      <c r="E881" s="37">
        <v>41209</v>
      </c>
      <c r="F881" s="40" t="s">
        <v>455</v>
      </c>
      <c r="G881" s="40" t="s">
        <v>401</v>
      </c>
      <c r="H881" s="45"/>
      <c r="I881" s="277"/>
      <c r="J881" s="277"/>
      <c r="K881" s="38">
        <v>10000000</v>
      </c>
      <c r="L881" s="39" t="s">
        <v>8</v>
      </c>
      <c r="M881" s="39" t="s">
        <v>24</v>
      </c>
      <c r="N881" s="55" t="str">
        <f>IF(AND('331-CT'!$E$7=TH!H881,OR(L881="331",M881="331")),"x","")</f>
        <v/>
      </c>
      <c r="O881" s="55" t="str">
        <f>IF(AND($B881&gt;='111'!$N$11,$B881&lt;='111'!$O$11,OR($L881=$O$7,$M881=$O$7)),"x","")</f>
        <v/>
      </c>
      <c r="P881" s="55" t="str">
        <f>IF(AND($L881=$O$7,$B881&lt;'111'!$N$11),"x","")</f>
        <v/>
      </c>
      <c r="Q881" s="55" t="str">
        <f>IF(AND($M881=$O$7,$B881&lt;'111'!$N$11),"x","")</f>
        <v/>
      </c>
      <c r="R881" s="55" t="str">
        <f>IF(ISERROR(FIND('112'!$M$9,G881,1)),"",IF((AND(FIND('112'!$M$9,G881,1)&gt;=1,$B881&gt;='112'!$N$8,$B881&lt;='112'!$O$8,OR($L881='112'!$I$6,$M881='112'!$I$6))),"x",""))</f>
        <v/>
      </c>
      <c r="S881" s="55" t="str">
        <f>IF(ISERROR(FIND('112'!$M$9,G881,1)),"",IF((AND(LEFT(G881,2)=LEFT('112'!$M$9,2),B881&lt;'112'!$N$8,$L881='112'!$I$6)),"x",""))</f>
        <v/>
      </c>
      <c r="T881" s="55" t="str">
        <f>IF(ISERROR(FIND('112'!$M$9,G881,1)),"",IF((AND(RIGHT(G881,2)=RIGHT('112'!$M$9,2),B881&lt;'112'!$N$8,$M881='112'!$I$6)),"x",""))</f>
        <v/>
      </c>
      <c r="U881" s="55" t="str">
        <f>IF(AND('3411-CT'!$F$9=H881,OR(LEFT(L881,3)=$U$7,LEFT(M881,3)=$U$7)),"x","")</f>
        <v/>
      </c>
      <c r="V881" s="55" t="str">
        <f>IF(OR(TH!L881=TH!$V$7,M881=TH!$V$7),"x","")</f>
        <v/>
      </c>
      <c r="W881" s="55" t="str">
        <f>IF(AND(OR(L881="131",M881="131"),H881='131-CT'!$E$7),"x","")</f>
        <v/>
      </c>
      <c r="X881" s="55" t="str">
        <f>IF(AND(B881&gt;='IN-NX'!$P$3,B881&lt;='IN-NX'!$Q$3,'IN-NX'!$D$7=D881,OR(LEFT(TH!L881,2)="15",LEFT(TH!M881,2)="15")),"x","")</f>
        <v/>
      </c>
      <c r="Y881" s="55" t="str">
        <f>IF(AND(OR(LEFT(TH!L881,2)="15",LEFT(TH!M881,2)="15"),'152-CT'!$J$8=TH!F881),"x","")</f>
        <v/>
      </c>
      <c r="Z881" s="55" t="str">
        <f>IF(AND(OR(LEFT(TH!L881,2)="15",LEFT(TH!M881,2)="15"),TK!$E$7=TH!F881),"x","")</f>
        <v/>
      </c>
      <c r="AA881" s="55" t="str">
        <f>IF(AND(B881&lt;=NKC!$N$8,B881&gt;=NKC!$M$8),"x","")</f>
        <v/>
      </c>
    </row>
    <row r="882" spans="1:30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37"/>
        <v>10</v>
      </c>
      <c r="C882" s="37">
        <v>41209</v>
      </c>
      <c r="D882" s="37" t="s">
        <v>405</v>
      </c>
      <c r="E882" s="37">
        <v>41209</v>
      </c>
      <c r="F882" s="40" t="s">
        <v>407</v>
      </c>
      <c r="G882" s="580" t="s">
        <v>401</v>
      </c>
      <c r="H882" s="45"/>
      <c r="I882" s="277"/>
      <c r="J882" s="277"/>
      <c r="K882" s="38">
        <v>20000</v>
      </c>
      <c r="L882" s="208" t="s">
        <v>87</v>
      </c>
      <c r="M882" s="39" t="s">
        <v>24</v>
      </c>
      <c r="N882" s="55" t="str">
        <f>IF(AND('331-CT'!$E$7=TH!H882,OR(L882="331",M882="331")),"x","")</f>
        <v/>
      </c>
      <c r="O882" s="55" t="str">
        <f>IF(AND($B882&gt;='111'!$N$11,$B882&lt;='111'!$O$11,OR($L882=$O$7,$M882=$O$7)),"x","")</f>
        <v/>
      </c>
      <c r="P882" s="55" t="str">
        <f>IF(AND($L882=$O$7,$B882&lt;'111'!$N$11),"x","")</f>
        <v/>
      </c>
      <c r="Q882" s="55" t="str">
        <f>IF(AND($M882=$O$7,$B882&lt;'111'!$N$11),"x","")</f>
        <v/>
      </c>
      <c r="R882" s="55" t="str">
        <f>IF(ISERROR(FIND('112'!$M$9,G882,1)),"",IF((AND(FIND('112'!$M$9,G882,1)&gt;=1,$B882&gt;='112'!$N$8,$B882&lt;='112'!$O$8,OR($L882='112'!$I$6,$M882='112'!$I$6))),"x",""))</f>
        <v/>
      </c>
      <c r="S882" s="55" t="str">
        <f>IF(ISERROR(FIND('112'!$M$9,G882,1)),"",IF((AND(LEFT(G882,2)=LEFT('112'!$M$9,2),B882&lt;'112'!$N$8,$L882='112'!$I$6)),"x",""))</f>
        <v/>
      </c>
      <c r="T882" s="55" t="str">
        <f>IF(ISERROR(FIND('112'!$M$9,G882,1)),"",IF((AND(RIGHT(G882,2)=RIGHT('112'!$M$9,2),B882&lt;'112'!$N$8,$M882='112'!$I$6)),"x",""))</f>
        <v/>
      </c>
      <c r="U882" s="55" t="str">
        <f>IF(AND('3411-CT'!$F$9=H882,OR(LEFT(L882,3)=$U$7,LEFT(M882,3)=$U$7)),"x","")</f>
        <v/>
      </c>
      <c r="V882" s="55" t="str">
        <f>IF(OR(TH!L882=TH!$V$7,M882=TH!$V$7),"x","")</f>
        <v/>
      </c>
      <c r="W882" s="55" t="str">
        <f>IF(AND(OR(L882="131",M882="131"),H882='131-CT'!$E$7),"x","")</f>
        <v/>
      </c>
      <c r="X882" s="55" t="str">
        <f>IF(AND(B882&gt;='IN-NX'!$P$3,B882&lt;='IN-NX'!$Q$3,'IN-NX'!$D$7=D882,OR(LEFT(TH!L882,2)="15",LEFT(TH!M882,2)="15")),"x","")</f>
        <v/>
      </c>
      <c r="Y882" s="55" t="str">
        <f>IF(AND(OR(LEFT(TH!L882,2)="15",LEFT(TH!M882,2)="15"),'152-CT'!$J$8=TH!F882),"x","")</f>
        <v/>
      </c>
      <c r="Z882" s="55" t="str">
        <f>IF(AND(OR(LEFT(TH!L882,2)="15",LEFT(TH!M882,2)="15"),TK!$E$7=TH!F882),"x","")</f>
        <v/>
      </c>
      <c r="AA882" s="55" t="str">
        <f>IF(AND(B882&lt;=NKC!$N$8,B882&gt;=NKC!$M$8),"x","")</f>
        <v/>
      </c>
    </row>
    <row r="883" spans="1:30" s="226" customFormat="1" ht="15.75" customHeight="1">
      <c r="A883" s="219" t="str">
        <f>IF(B883&lt;&gt;"",IF(AND(B883&gt;=_TM1,B883&lt;=_TM2,OR(TH!L883="1111",TH!M883="1111")),TH!D883,""),"")</f>
        <v>C09</v>
      </c>
      <c r="B883" s="36">
        <f t="shared" si="37"/>
        <v>10</v>
      </c>
      <c r="C883" s="37">
        <v>41211</v>
      </c>
      <c r="D883" s="37" t="s">
        <v>473</v>
      </c>
      <c r="E883" s="37">
        <v>41211</v>
      </c>
      <c r="F883" s="40" t="s">
        <v>451</v>
      </c>
      <c r="G883" s="580" t="s">
        <v>401</v>
      </c>
      <c r="H883" s="45" t="s">
        <v>706</v>
      </c>
      <c r="I883" s="277"/>
      <c r="J883" s="277"/>
      <c r="K883" s="38">
        <v>50000000</v>
      </c>
      <c r="L883" s="208" t="s">
        <v>24</v>
      </c>
      <c r="M883" s="39" t="s">
        <v>49</v>
      </c>
      <c r="N883" s="55" t="str">
        <f>IF(AND('331-CT'!$E$7=TH!H883,OR(L883="331",M883="331")),"x","")</f>
        <v/>
      </c>
      <c r="O883" s="55" t="str">
        <f>IF(AND($B883&gt;='111'!$N$11,$B883&lt;='111'!$O$11,OR($L883=$O$7,$M883=$O$7)),"x","")</f>
        <v>x</v>
      </c>
      <c r="P883" s="55" t="str">
        <f>IF(AND($L883=$O$7,$B883&lt;'111'!$N$11),"x","")</f>
        <v/>
      </c>
      <c r="Q883" s="55" t="str">
        <f>IF(AND($M883=$O$7,$B883&lt;'111'!$N$11),"x","")</f>
        <v/>
      </c>
      <c r="R883" s="55" t="str">
        <f>IF(ISERROR(FIND('112'!$M$9,G883,1)),"",IF((AND(FIND('112'!$M$9,G883,1)&gt;=1,$B883&gt;='112'!$N$8,$B883&lt;='112'!$O$8,OR($L883='112'!$I$6,$M883='112'!$I$6))),"x",""))</f>
        <v/>
      </c>
      <c r="S883" s="55" t="str">
        <f>IF(ISERROR(FIND('112'!$M$9,G883,1)),"",IF((AND(LEFT(G883,2)=LEFT('112'!$M$9,2),B883&lt;'112'!$N$8,$L883='112'!$I$6)),"x",""))</f>
        <v/>
      </c>
      <c r="T883" s="55" t="str">
        <f>IF(ISERROR(FIND('112'!$M$9,G883,1)),"",IF((AND(RIGHT(G883,2)=RIGHT('112'!$M$9,2),B883&lt;'112'!$N$8,$M883='112'!$I$6)),"x",""))</f>
        <v/>
      </c>
      <c r="U883" s="55" t="str">
        <f>IF(AND('3411-CT'!$F$9=H883,OR(LEFT(L883,3)=$U$7,LEFT(M883,3)=$U$7)),"x","")</f>
        <v/>
      </c>
      <c r="V883" s="55" t="str">
        <f>IF(OR(TH!L883=TH!$V$7,M883=TH!$V$7),"x","")</f>
        <v/>
      </c>
      <c r="W883" s="55" t="str">
        <f>IF(AND(OR(L883="131",M883="131"),H883='131-CT'!$E$7),"x","")</f>
        <v/>
      </c>
      <c r="X883" s="55" t="str">
        <f>IF(AND(B883&gt;='IN-NX'!$P$3,B883&lt;='IN-NX'!$Q$3,'IN-NX'!$D$7=D883,OR(LEFT(TH!L883,2)="15",LEFT(TH!M883,2)="15")),"x","")</f>
        <v/>
      </c>
      <c r="Y883" s="55" t="str">
        <f>IF(AND(OR(LEFT(TH!L883,2)="15",LEFT(TH!M883,2)="15"),'152-CT'!$J$8=TH!F883),"x","")</f>
        <v/>
      </c>
      <c r="Z883" s="55" t="str">
        <f>IF(AND(OR(LEFT(TH!L883,2)="15",LEFT(TH!M883,2)="15"),TK!$E$7=TH!F883),"x","")</f>
        <v/>
      </c>
      <c r="AA883" s="55" t="str">
        <f>IF(AND(B883&lt;=NKC!$N$8,B883&gt;=NKC!$M$8),"x","")</f>
        <v/>
      </c>
    </row>
    <row r="884" spans="1:30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37"/>
        <v>10</v>
      </c>
      <c r="C884" s="37">
        <v>41211</v>
      </c>
      <c r="D884" s="37" t="s">
        <v>405</v>
      </c>
      <c r="E884" s="37">
        <v>41211</v>
      </c>
      <c r="F884" s="40" t="s">
        <v>455</v>
      </c>
      <c r="G884" s="580" t="s">
        <v>401</v>
      </c>
      <c r="H884" s="45"/>
      <c r="I884" s="277"/>
      <c r="J884" s="277"/>
      <c r="K884" s="38">
        <v>50000000</v>
      </c>
      <c r="L884" s="208" t="s">
        <v>8</v>
      </c>
      <c r="M884" s="39" t="s">
        <v>24</v>
      </c>
      <c r="N884" s="55" t="str">
        <f>IF(AND('331-CT'!$E$7=TH!H884,OR(L884="331",M884="331")),"x","")</f>
        <v/>
      </c>
      <c r="O884" s="55" t="str">
        <f>IF(AND($B884&gt;='111'!$N$11,$B884&lt;='111'!$O$11,OR($L884=$O$7,$M884=$O$7)),"x","")</f>
        <v/>
      </c>
      <c r="P884" s="55" t="str">
        <f>IF(AND($L884=$O$7,$B884&lt;'111'!$N$11),"x","")</f>
        <v/>
      </c>
      <c r="Q884" s="55" t="str">
        <f>IF(AND($M884=$O$7,$B884&lt;'111'!$N$11),"x","")</f>
        <v/>
      </c>
      <c r="R884" s="55" t="str">
        <f>IF(ISERROR(FIND('112'!$M$9,G884,1)),"",IF((AND(FIND('112'!$M$9,G884,1)&gt;=1,$B884&gt;='112'!$N$8,$B884&lt;='112'!$O$8,OR($L884='112'!$I$6,$M884='112'!$I$6))),"x",""))</f>
        <v/>
      </c>
      <c r="S884" s="55" t="str">
        <f>IF(ISERROR(FIND('112'!$M$9,G884,1)),"",IF((AND(LEFT(G884,2)=LEFT('112'!$M$9,2),B884&lt;'112'!$N$8,$L884='112'!$I$6)),"x",""))</f>
        <v/>
      </c>
      <c r="T884" s="55" t="str">
        <f>IF(ISERROR(FIND('112'!$M$9,G884,1)),"",IF((AND(RIGHT(G884,2)=RIGHT('112'!$M$9,2),B884&lt;'112'!$N$8,$M884='112'!$I$6)),"x",""))</f>
        <v/>
      </c>
      <c r="U884" s="55" t="str">
        <f>IF(AND('3411-CT'!$F$9=H884,OR(LEFT(L884,3)=$U$7,LEFT(M884,3)=$U$7)),"x","")</f>
        <v/>
      </c>
      <c r="V884" s="55" t="str">
        <f>IF(OR(TH!L884=TH!$V$7,M884=TH!$V$7),"x","")</f>
        <v/>
      </c>
      <c r="W884" s="55" t="str">
        <f>IF(AND(OR(L884="131",M884="131"),H884='131-CT'!$E$7),"x","")</f>
        <v/>
      </c>
      <c r="X884" s="55" t="str">
        <f>IF(AND(B884&gt;='IN-NX'!$P$3,B884&lt;='IN-NX'!$Q$3,'IN-NX'!$D$7=D884,OR(LEFT(TH!L884,2)="15",LEFT(TH!M884,2)="15")),"x","")</f>
        <v/>
      </c>
      <c r="Y884" s="55" t="str">
        <f>IF(AND(OR(LEFT(TH!L884,2)="15",LEFT(TH!M884,2)="15"),'152-CT'!$J$8=TH!F884),"x","")</f>
        <v/>
      </c>
      <c r="Z884" s="55" t="str">
        <f>IF(AND(OR(LEFT(TH!L884,2)="15",LEFT(TH!M884,2)="15"),TK!$E$7=TH!F884),"x","")</f>
        <v/>
      </c>
      <c r="AA884" s="55" t="str">
        <f>IF(AND(B884&lt;=NKC!$N$8,B884&gt;=NKC!$M$8),"x","")</f>
        <v/>
      </c>
    </row>
    <row r="885" spans="1:30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37"/>
        <v>10</v>
      </c>
      <c r="C885" s="37">
        <v>41211</v>
      </c>
      <c r="D885" s="37" t="s">
        <v>405</v>
      </c>
      <c r="E885" s="37">
        <v>41211</v>
      </c>
      <c r="F885" s="40" t="s">
        <v>407</v>
      </c>
      <c r="G885" s="580" t="s">
        <v>401</v>
      </c>
      <c r="H885" s="45"/>
      <c r="I885" s="277"/>
      <c r="J885" s="277"/>
      <c r="K885" s="38">
        <v>25000</v>
      </c>
      <c r="L885" s="208" t="s">
        <v>87</v>
      </c>
      <c r="M885" s="39" t="s">
        <v>24</v>
      </c>
      <c r="N885" s="55" t="str">
        <f>IF(AND('331-CT'!$E$7=TH!H885,OR(L885="331",M885="331")),"x","")</f>
        <v/>
      </c>
      <c r="O885" s="55" t="str">
        <f>IF(AND($B885&gt;='111'!$N$11,$B885&lt;='111'!$O$11,OR($L885=$O$7,$M885=$O$7)),"x","")</f>
        <v/>
      </c>
      <c r="P885" s="55" t="str">
        <f>IF(AND($L885=$O$7,$B885&lt;'111'!$N$11),"x","")</f>
        <v/>
      </c>
      <c r="Q885" s="55" t="str">
        <f>IF(AND($M885=$O$7,$B885&lt;'111'!$N$11),"x","")</f>
        <v/>
      </c>
      <c r="R885" s="55" t="str">
        <f>IF(ISERROR(FIND('112'!$M$9,G885,1)),"",IF((AND(FIND('112'!$M$9,G885,1)&gt;=1,$B885&gt;='112'!$N$8,$B885&lt;='112'!$O$8,OR($L885='112'!$I$6,$M885='112'!$I$6))),"x",""))</f>
        <v/>
      </c>
      <c r="S885" s="55" t="str">
        <f>IF(ISERROR(FIND('112'!$M$9,G885,1)),"",IF((AND(LEFT(G885,2)=LEFT('112'!$M$9,2),B885&lt;'112'!$N$8,$L885='112'!$I$6)),"x",""))</f>
        <v/>
      </c>
      <c r="T885" s="55" t="str">
        <f>IF(ISERROR(FIND('112'!$M$9,G885,1)),"",IF((AND(RIGHT(G885,2)=RIGHT('112'!$M$9,2),B885&lt;'112'!$N$8,$M885='112'!$I$6)),"x",""))</f>
        <v/>
      </c>
      <c r="U885" s="55" t="str">
        <f>IF(AND('3411-CT'!$F$9=H885,OR(LEFT(L885,3)=$U$7,LEFT(M885,3)=$U$7)),"x","")</f>
        <v/>
      </c>
      <c r="V885" s="55" t="str">
        <f>IF(OR(TH!L885=TH!$V$7,M885=TH!$V$7),"x","")</f>
        <v/>
      </c>
      <c r="W885" s="55" t="str">
        <f>IF(AND(OR(L885="131",M885="131"),H885='131-CT'!$E$7),"x","")</f>
        <v/>
      </c>
      <c r="X885" s="55" t="str">
        <f>IF(AND(B885&gt;='IN-NX'!$P$3,B885&lt;='IN-NX'!$Q$3,'IN-NX'!$D$7=D885,OR(LEFT(TH!L885,2)="15",LEFT(TH!M885,2)="15")),"x","")</f>
        <v/>
      </c>
      <c r="Y885" s="55" t="str">
        <f>IF(AND(OR(LEFT(TH!L885,2)="15",LEFT(TH!M885,2)="15"),'152-CT'!$J$8=TH!F885),"x","")</f>
        <v/>
      </c>
      <c r="Z885" s="55" t="str">
        <f>IF(AND(OR(LEFT(TH!L885,2)="15",LEFT(TH!M885,2)="15"),TK!$E$7=TH!F885),"x","")</f>
        <v/>
      </c>
      <c r="AA885" s="55" t="str">
        <f>IF(AND(B885&lt;=NKC!$N$8,B885&gt;=NKC!$M$8),"x","")</f>
        <v/>
      </c>
    </row>
    <row r="886" spans="1:30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37"/>
        <v>10</v>
      </c>
      <c r="C886" s="37">
        <v>41211</v>
      </c>
      <c r="D886" s="37" t="s">
        <v>405</v>
      </c>
      <c r="E886" s="37">
        <v>41211</v>
      </c>
      <c r="F886" s="40" t="s">
        <v>865</v>
      </c>
      <c r="G886" s="580" t="s">
        <v>401</v>
      </c>
      <c r="H886" s="45"/>
      <c r="I886" s="277"/>
      <c r="J886" s="277"/>
      <c r="K886" s="38">
        <v>13990</v>
      </c>
      <c r="L886" s="39" t="s">
        <v>87</v>
      </c>
      <c r="M886" s="39" t="s">
        <v>24</v>
      </c>
      <c r="N886" s="55" t="str">
        <f>IF(AND('331-CT'!$E$7=TH!H886,OR(L886="331",M886="331")),"x","")</f>
        <v/>
      </c>
      <c r="O886" s="55" t="str">
        <f>IF(AND($B886&gt;='111'!$N$11,$B886&lt;='111'!$O$11,OR($L886=$O$7,$M886=$O$7)),"x","")</f>
        <v/>
      </c>
      <c r="P886" s="55" t="str">
        <f>IF(AND($L886=$O$7,$B886&lt;'111'!$N$11),"x","")</f>
        <v/>
      </c>
      <c r="Q886" s="55" t="str">
        <f>IF(AND($M886=$O$7,$B886&lt;'111'!$N$11),"x","")</f>
        <v/>
      </c>
      <c r="R886" s="55" t="str">
        <f>IF(ISERROR(FIND('112'!$M$9,G886,1)),"",IF((AND(FIND('112'!$M$9,G886,1)&gt;=1,$B886&gt;='112'!$N$8,$B886&lt;='112'!$O$8,OR($L886='112'!$I$6,$M886='112'!$I$6))),"x",""))</f>
        <v/>
      </c>
      <c r="S886" s="55" t="str">
        <f>IF(ISERROR(FIND('112'!$M$9,G886,1)),"",IF((AND(LEFT(G886,2)=LEFT('112'!$M$9,2),B886&lt;'112'!$N$8,$L886='112'!$I$6)),"x",""))</f>
        <v/>
      </c>
      <c r="T886" s="55" t="str">
        <f>IF(ISERROR(FIND('112'!$M$9,G886,1)),"",IF((AND(RIGHT(G886,2)=RIGHT('112'!$M$9,2),B886&lt;'112'!$N$8,$M886='112'!$I$6)),"x",""))</f>
        <v/>
      </c>
      <c r="U886" s="55" t="str">
        <f>IF(AND('3411-CT'!$F$9=H886,OR(LEFT(L886,3)=$U$7,LEFT(M886,3)=$U$7)),"x","")</f>
        <v/>
      </c>
      <c r="V886" s="55" t="str">
        <f>IF(OR(TH!L886=TH!$V$7,M886=TH!$V$7),"x","")</f>
        <v/>
      </c>
      <c r="W886" s="55" t="str">
        <f>IF(AND(OR(L886="131",M886="131"),H886='131-CT'!$E$7),"x","")</f>
        <v/>
      </c>
      <c r="X886" s="55" t="str">
        <f>IF(AND(B886&gt;='IN-NX'!$P$3,B886&lt;='IN-NX'!$Q$3,'IN-NX'!$D$7=D886,OR(LEFT(TH!L886,2)="15",LEFT(TH!M886,2)="15")),"x","")</f>
        <v/>
      </c>
      <c r="Y886" s="55" t="str">
        <f>IF(AND(OR(LEFT(TH!L886,2)="15",LEFT(TH!M886,2)="15"),'152-CT'!$J$8=TH!F886),"x","")</f>
        <v/>
      </c>
      <c r="Z886" s="55" t="str">
        <f>IF(AND(OR(LEFT(TH!L886,2)="15",LEFT(TH!M886,2)="15"),TK!$E$7=TH!F886),"x","")</f>
        <v/>
      </c>
      <c r="AA886" s="55" t="str">
        <f>IF(AND(B886&lt;=NKC!$N$8,B886&gt;=NKC!$M$8),"x","")</f>
        <v/>
      </c>
    </row>
    <row r="887" spans="1:30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37"/>
        <v>10</v>
      </c>
      <c r="C887" s="37">
        <v>41213</v>
      </c>
      <c r="D887" s="205" t="s">
        <v>518</v>
      </c>
      <c r="E887" s="37">
        <v>41213</v>
      </c>
      <c r="F887" s="40" t="s">
        <v>1059</v>
      </c>
      <c r="G887" s="580" t="s">
        <v>1077</v>
      </c>
      <c r="H887" s="7" t="s">
        <v>487</v>
      </c>
      <c r="I887" s="277">
        <v>200</v>
      </c>
      <c r="J887" s="277">
        <v>18628</v>
      </c>
      <c r="K887" s="38">
        <v>3725600</v>
      </c>
      <c r="L887" s="39" t="s">
        <v>186</v>
      </c>
      <c r="M887" s="699" t="s">
        <v>8</v>
      </c>
      <c r="N887" s="55" t="str">
        <f>IF(AND('331-CT'!$E$7=TH!H887,OR(L887="331",M887="331")),"x","")</f>
        <v/>
      </c>
      <c r="O887" s="55" t="str">
        <f>IF(AND($B887&gt;='111'!$N$11,$B887&lt;='111'!$O$11,OR($L887=$O$7,$M887=$O$7)),"x","")</f>
        <v/>
      </c>
      <c r="P887" s="55" t="str">
        <f>IF(AND($L887=$O$7,$B887&lt;'111'!$N$11),"x","")</f>
        <v/>
      </c>
      <c r="Q887" s="55" t="str">
        <f>IF(AND($M887=$O$7,$B887&lt;'111'!$N$11),"x","")</f>
        <v/>
      </c>
      <c r="R887" s="55" t="str">
        <f>IF(ISERROR(FIND('112'!$M$9,G887,1)),"",IF((AND(FIND('112'!$M$9,G887,1)&gt;=1,$B887&gt;='112'!$N$8,$B887&lt;='112'!$O$8,OR($L887='112'!$I$6,$M887='112'!$I$6))),"x",""))</f>
        <v/>
      </c>
      <c r="S887" s="55" t="str">
        <f>IF(ISERROR(FIND('112'!$M$9,G887,1)),"",IF((AND(LEFT(G887,2)=LEFT('112'!$M$9,2),B887&lt;'112'!$N$8,$L887='112'!$I$6)),"x",""))</f>
        <v/>
      </c>
      <c r="T887" s="55" t="str">
        <f>IF(ISERROR(FIND('112'!$M$9,G887,1)),"",IF((AND(RIGHT(G887,2)=RIGHT('112'!$M$9,2),B887&lt;'112'!$N$8,$M887='112'!$I$6)),"x",""))</f>
        <v/>
      </c>
      <c r="U887" s="55" t="str">
        <f>IF(AND('3411-CT'!$F$9=H887,OR(LEFT(L887,3)=$U$7,LEFT(M887,3)=$U$7)),"x","")</f>
        <v/>
      </c>
      <c r="V887" s="55" t="str">
        <f>IF(OR(TH!L887=TH!$V$7,M887=TH!$V$7),"x","")</f>
        <v/>
      </c>
      <c r="W887" s="55" t="str">
        <f>IF(AND(OR(L887="131",M887="131"),H887='131-CT'!$E$7),"x","")</f>
        <v/>
      </c>
      <c r="X887" s="55" t="str">
        <f>IF(AND(B887&gt;='IN-NX'!$P$3,B887&lt;='IN-NX'!$Q$3,'IN-NX'!$D$7=D887,OR(LEFT(TH!L887,2)="15",LEFT(TH!M887,2)="15")),"x","")</f>
        <v/>
      </c>
      <c r="Y887" s="55" t="str">
        <f>IF(AND(OR(LEFT(TH!L887,2)="15",LEFT(TH!M887,2)="15"),'152-CT'!$J$8=TH!F887),"x","")</f>
        <v/>
      </c>
      <c r="Z887" s="55" t="str">
        <f>IF(AND(OR(LEFT(TH!L887,2)="15",LEFT(TH!M887,2)="15"),TK!$E$7=TH!F887),"x","")</f>
        <v/>
      </c>
      <c r="AA887" s="55" t="str">
        <f>IF(AND(B887&lt;=NKC!$N$8,B887&gt;=NKC!$M$8),"x","")</f>
        <v/>
      </c>
      <c r="AC887" s="226" t="str">
        <f>IF(ISNA(VLOOKUP(F887,NXT!$C$18:$C$347,1,0)),x,"")</f>
        <v/>
      </c>
    </row>
    <row r="888" spans="1:30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37"/>
        <v>10</v>
      </c>
      <c r="C888" s="37">
        <v>41213</v>
      </c>
      <c r="D888" s="205" t="s">
        <v>518</v>
      </c>
      <c r="E888" s="37">
        <v>41213</v>
      </c>
      <c r="F888" s="40" t="s">
        <v>573</v>
      </c>
      <c r="G888" s="580" t="s">
        <v>1077</v>
      </c>
      <c r="H888" s="7" t="s">
        <v>487</v>
      </c>
      <c r="I888" s="277"/>
      <c r="J888" s="277"/>
      <c r="K888" s="38">
        <v>372560</v>
      </c>
      <c r="L888" s="39" t="s">
        <v>9</v>
      </c>
      <c r="M888" s="699" t="s">
        <v>8</v>
      </c>
      <c r="N888" s="55" t="str">
        <f>IF(AND('331-CT'!$E$7=TH!H888,OR(L888="331",M888="331")),"x","")</f>
        <v/>
      </c>
      <c r="O888" s="55" t="str">
        <f>IF(AND($B888&gt;='111'!$N$11,$B888&lt;='111'!$O$11,OR($L888=$O$7,$M888=$O$7)),"x","")</f>
        <v/>
      </c>
      <c r="P888" s="55" t="str">
        <f>IF(AND($L888=$O$7,$B888&lt;'111'!$N$11),"x","")</f>
        <v/>
      </c>
      <c r="Q888" s="55" t="str">
        <f>IF(AND($M888=$O$7,$B888&lt;'111'!$N$11),"x","")</f>
        <v/>
      </c>
      <c r="R888" s="55" t="str">
        <f>IF(ISERROR(FIND('112'!$M$9,G888,1)),"",IF((AND(FIND('112'!$M$9,G888,1)&gt;=1,$B888&gt;='112'!$N$8,$B888&lt;='112'!$O$8,OR($L888='112'!$I$6,$M888='112'!$I$6))),"x",""))</f>
        <v/>
      </c>
      <c r="S888" s="55" t="str">
        <f>IF(ISERROR(FIND('112'!$M$9,G888,1)),"",IF((AND(LEFT(G888,2)=LEFT('112'!$M$9,2),B888&lt;'112'!$N$8,$L888='112'!$I$6)),"x",""))</f>
        <v/>
      </c>
      <c r="T888" s="55" t="str">
        <f>IF(ISERROR(FIND('112'!$M$9,G888,1)),"",IF((AND(RIGHT(G888,2)=RIGHT('112'!$M$9,2),B888&lt;'112'!$N$8,$M888='112'!$I$6)),"x",""))</f>
        <v/>
      </c>
      <c r="U888" s="55" t="str">
        <f>IF(AND('3411-CT'!$F$9=H888,OR(LEFT(L888,3)=$U$7,LEFT(M888,3)=$U$7)),"x","")</f>
        <v/>
      </c>
      <c r="V888" s="55" t="str">
        <f>IF(OR(TH!L888=TH!$V$7,M888=TH!$V$7),"x","")</f>
        <v/>
      </c>
      <c r="W888" s="55" t="str">
        <f>IF(AND(OR(L888="131",M888="131"),H888='131-CT'!$E$7),"x","")</f>
        <v/>
      </c>
      <c r="X888" s="55" t="str">
        <f>IF(AND(B888&gt;='IN-NX'!$P$3,B888&lt;='IN-NX'!$Q$3,'IN-NX'!$D$7=D888,OR(LEFT(TH!L888,2)="15",LEFT(TH!M888,2)="15")),"x","")</f>
        <v/>
      </c>
      <c r="Y888" s="55" t="str">
        <f>IF(AND(OR(LEFT(TH!L888,2)="15",LEFT(TH!M888,2)="15"),'152-CT'!$J$8=TH!F888),"x","")</f>
        <v/>
      </c>
      <c r="Z888" s="55" t="str">
        <f>IF(AND(OR(LEFT(TH!L888,2)="15",LEFT(TH!M888,2)="15"),TK!$E$7=TH!F888),"x","")</f>
        <v/>
      </c>
      <c r="AA888" s="55" t="str">
        <f>IF(AND(B888&lt;=NKC!$N$8,B888&gt;=NKC!$M$8),"x","")</f>
        <v/>
      </c>
    </row>
    <row r="889" spans="1:30" s="226" customFormat="1" ht="15.75" customHeight="1">
      <c r="A889" s="219" t="str">
        <f>IF(B889&lt;&gt;"",IF(AND(B889&gt;=_TM1,B889&lt;=_TM2,OR(TH!L889="1111",TH!M889="1111")),TH!D889,""),"")</f>
        <v>C10</v>
      </c>
      <c r="B889" s="36">
        <f t="shared" si="37"/>
        <v>11</v>
      </c>
      <c r="C889" s="37">
        <v>41214</v>
      </c>
      <c r="D889" s="37" t="s">
        <v>489</v>
      </c>
      <c r="E889" s="37">
        <v>41214</v>
      </c>
      <c r="F889" s="40" t="s">
        <v>451</v>
      </c>
      <c r="G889" s="580" t="s">
        <v>401</v>
      </c>
      <c r="H889" s="45" t="s">
        <v>706</v>
      </c>
      <c r="I889" s="277"/>
      <c r="J889" s="277"/>
      <c r="K889" s="38">
        <v>62000000</v>
      </c>
      <c r="L889" s="39" t="s">
        <v>24</v>
      </c>
      <c r="M889" s="39" t="s">
        <v>49</v>
      </c>
      <c r="N889" s="55" t="str">
        <f>IF(AND('331-CT'!$E$7=TH!H889,OR(L889="331",M889="331")),"x","")</f>
        <v/>
      </c>
      <c r="O889" s="55" t="str">
        <f>IF(AND($B889&gt;='111'!$N$11,$B889&lt;='111'!$O$11,OR($L889=$O$7,$M889=$O$7)),"x","")</f>
        <v>x</v>
      </c>
      <c r="P889" s="55" t="str">
        <f>IF(AND($L889=$O$7,$B889&lt;'111'!$N$11),"x","")</f>
        <v/>
      </c>
      <c r="Q889" s="55" t="str">
        <f>IF(AND($M889=$O$7,$B889&lt;'111'!$N$11),"x","")</f>
        <v/>
      </c>
      <c r="R889" s="55" t="str">
        <f>IF(ISERROR(FIND('112'!$M$9,G889,1)),"",IF((AND(FIND('112'!$M$9,G889,1)&gt;=1,$B889&gt;='112'!$N$8,$B889&lt;='112'!$O$8,OR($L889='112'!$I$6,$M889='112'!$I$6))),"x",""))</f>
        <v/>
      </c>
      <c r="S889" s="55" t="str">
        <f>IF(ISERROR(FIND('112'!$M$9,G889,1)),"",IF((AND(LEFT(G889,2)=LEFT('112'!$M$9,2),B889&lt;'112'!$N$8,$L889='112'!$I$6)),"x",""))</f>
        <v/>
      </c>
      <c r="T889" s="55" t="str">
        <f>IF(ISERROR(FIND('112'!$M$9,G889,1)),"",IF((AND(RIGHT(G889,2)=RIGHT('112'!$M$9,2),B889&lt;'112'!$N$8,$M889='112'!$I$6)),"x",""))</f>
        <v/>
      </c>
      <c r="U889" s="55" t="str">
        <f>IF(AND('3411-CT'!$F$9=H889,OR(LEFT(L889,3)=$U$7,LEFT(M889,3)=$U$7)),"x","")</f>
        <v/>
      </c>
      <c r="V889" s="55" t="str">
        <f>IF(OR(TH!L889=TH!$V$7,M889=TH!$V$7),"x","")</f>
        <v/>
      </c>
      <c r="W889" s="55" t="str">
        <f>IF(AND(OR(L889="131",M889="131"),H889='131-CT'!$E$7),"x","")</f>
        <v/>
      </c>
      <c r="X889" s="55" t="str">
        <f>IF(AND(B889&gt;='IN-NX'!$P$3,B889&lt;='IN-NX'!$Q$3,'IN-NX'!$D$7=D889,OR(LEFT(TH!L889,2)="15",LEFT(TH!M889,2)="15")),"x","")</f>
        <v/>
      </c>
      <c r="Y889" s="55" t="str">
        <f>IF(AND(OR(LEFT(TH!L889,2)="15",LEFT(TH!M889,2)="15"),'152-CT'!$J$8=TH!F889),"x","")</f>
        <v/>
      </c>
      <c r="Z889" s="55" t="str">
        <f>IF(AND(OR(LEFT(TH!L889,2)="15",LEFT(TH!M889,2)="15"),TK!$E$7=TH!F889),"x","")</f>
        <v/>
      </c>
      <c r="AA889" s="55" t="str">
        <f>IF(AND(B889&lt;=NKC!$N$8,B889&gt;=NKC!$M$8),"x","")</f>
        <v/>
      </c>
    </row>
    <row r="890" spans="1:30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37"/>
        <v>11</v>
      </c>
      <c r="C890" s="37">
        <v>41215</v>
      </c>
      <c r="D890" s="37" t="s">
        <v>405</v>
      </c>
      <c r="E890" s="37">
        <v>41215</v>
      </c>
      <c r="F890" s="40" t="s">
        <v>455</v>
      </c>
      <c r="G890" s="580" t="s">
        <v>401</v>
      </c>
      <c r="H890" s="45"/>
      <c r="I890" s="277"/>
      <c r="J890" s="277"/>
      <c r="K890" s="38">
        <v>5000000</v>
      </c>
      <c r="L890" s="39" t="s">
        <v>8</v>
      </c>
      <c r="M890" s="39" t="s">
        <v>24</v>
      </c>
      <c r="N890" s="55" t="str">
        <f>IF(AND('331-CT'!$E$7=TH!H890,OR(L890="331",M890="331")),"x","")</f>
        <v/>
      </c>
      <c r="O890" s="55" t="str">
        <f>IF(AND($B890&gt;='111'!$N$11,$B890&lt;='111'!$O$11,OR($L890=$O$7,$M890=$O$7)),"x","")</f>
        <v/>
      </c>
      <c r="P890" s="55" t="str">
        <f>IF(AND($L890=$O$7,$B890&lt;'111'!$N$11),"x","")</f>
        <v/>
      </c>
      <c r="Q890" s="55" t="str">
        <f>IF(AND($M890=$O$7,$B890&lt;'111'!$N$11),"x","")</f>
        <v/>
      </c>
      <c r="R890" s="55" t="str">
        <f>IF(ISERROR(FIND('112'!$M$9,G890,1)),"",IF((AND(FIND('112'!$M$9,G890,1)&gt;=1,$B890&gt;='112'!$N$8,$B890&lt;='112'!$O$8,OR($L890='112'!$I$6,$M890='112'!$I$6))),"x",""))</f>
        <v/>
      </c>
      <c r="S890" s="55" t="str">
        <f>IF(ISERROR(FIND('112'!$M$9,G890,1)),"",IF((AND(LEFT(G890,2)=LEFT('112'!$M$9,2),B890&lt;'112'!$N$8,$L890='112'!$I$6)),"x",""))</f>
        <v/>
      </c>
      <c r="T890" s="55" t="str">
        <f>IF(ISERROR(FIND('112'!$M$9,G890,1)),"",IF((AND(RIGHT(G890,2)=RIGHT('112'!$M$9,2),B890&lt;'112'!$N$8,$M890='112'!$I$6)),"x",""))</f>
        <v/>
      </c>
      <c r="U890" s="55" t="str">
        <f>IF(AND('3411-CT'!$F$9=H890,OR(LEFT(L890,3)=$U$7,LEFT(M890,3)=$U$7)),"x","")</f>
        <v/>
      </c>
      <c r="V890" s="55" t="str">
        <f>IF(OR(TH!L890=TH!$V$7,M890=TH!$V$7),"x","")</f>
        <v/>
      </c>
      <c r="W890" s="55" t="str">
        <f>IF(AND(OR(L890="131",M890="131"),H890='131-CT'!$E$7),"x","")</f>
        <v/>
      </c>
      <c r="X890" s="55" t="str">
        <f>IF(AND(B890&gt;='IN-NX'!$P$3,B890&lt;='IN-NX'!$Q$3,'IN-NX'!$D$7=D890,OR(LEFT(TH!L890,2)="15",LEFT(TH!M890,2)="15")),"x","")</f>
        <v/>
      </c>
      <c r="Y890" s="55" t="str">
        <f>IF(AND(OR(LEFT(TH!L890,2)="15",LEFT(TH!M890,2)="15"),'152-CT'!$J$8=TH!F890),"x","")</f>
        <v/>
      </c>
      <c r="Z890" s="55" t="str">
        <f>IF(AND(OR(LEFT(TH!L890,2)="15",LEFT(TH!M890,2)="15"),TK!$E$7=TH!F890),"x","")</f>
        <v/>
      </c>
      <c r="AA890" s="55" t="str">
        <f>IF(AND(B890&lt;=NKC!$N$8,B890&gt;=NKC!$M$8),"x","")</f>
        <v/>
      </c>
    </row>
    <row r="891" spans="1:30" s="226" customFormat="1" ht="15.75" customHeight="1">
      <c r="A891" s="219" t="str">
        <f>IF(B891&lt;&gt;"",IF(AND(B891&gt;=_TM1,B891&lt;=_TM2,OR(TH!L891="1111",TH!M891="1111")),TH!D891,""),"")</f>
        <v/>
      </c>
      <c r="B891" s="36">
        <f t="shared" si="37"/>
        <v>11</v>
      </c>
      <c r="C891" s="37">
        <v>41215</v>
      </c>
      <c r="D891" s="37" t="s">
        <v>405</v>
      </c>
      <c r="E891" s="37">
        <v>41215</v>
      </c>
      <c r="F891" s="40" t="s">
        <v>407</v>
      </c>
      <c r="G891" s="580" t="s">
        <v>401</v>
      </c>
      <c r="H891" s="45"/>
      <c r="I891" s="277"/>
      <c r="J891" s="277"/>
      <c r="K891" s="38">
        <v>20000</v>
      </c>
      <c r="L891" s="39" t="s">
        <v>87</v>
      </c>
      <c r="M891" s="39" t="s">
        <v>24</v>
      </c>
      <c r="N891" s="55" t="str">
        <f>IF(AND('331-CT'!$E$7=TH!H891,OR(L891="331",M891="331")),"x","")</f>
        <v/>
      </c>
      <c r="O891" s="55" t="str">
        <f>IF(AND($B891&gt;='111'!$N$11,$B891&lt;='111'!$O$11,OR($L891=$O$7,$M891=$O$7)),"x","")</f>
        <v/>
      </c>
      <c r="P891" s="55" t="str">
        <f>IF(AND($L891=$O$7,$B891&lt;'111'!$N$11),"x","")</f>
        <v/>
      </c>
      <c r="Q891" s="55" t="str">
        <f>IF(AND($M891=$O$7,$B891&lt;'111'!$N$11),"x","")</f>
        <v/>
      </c>
      <c r="R891" s="55" t="str">
        <f>IF(ISERROR(FIND('112'!$M$9,G891,1)),"",IF((AND(FIND('112'!$M$9,G891,1)&gt;=1,$B891&gt;='112'!$N$8,$B891&lt;='112'!$O$8,OR($L891='112'!$I$6,$M891='112'!$I$6))),"x",""))</f>
        <v/>
      </c>
      <c r="S891" s="55" t="str">
        <f>IF(ISERROR(FIND('112'!$M$9,G891,1)),"",IF((AND(LEFT(G891,2)=LEFT('112'!$M$9,2),B891&lt;'112'!$N$8,$L891='112'!$I$6)),"x",""))</f>
        <v/>
      </c>
      <c r="T891" s="55" t="str">
        <f>IF(ISERROR(FIND('112'!$M$9,G891,1)),"",IF((AND(RIGHT(G891,2)=RIGHT('112'!$M$9,2),B891&lt;'112'!$N$8,$M891='112'!$I$6)),"x",""))</f>
        <v/>
      </c>
      <c r="U891" s="55" t="str">
        <f>IF(AND('3411-CT'!$F$9=H891,OR(LEFT(L891,3)=$U$7,LEFT(M891,3)=$U$7)),"x","")</f>
        <v/>
      </c>
      <c r="V891" s="55" t="str">
        <f>IF(OR(TH!L891=TH!$V$7,M891=TH!$V$7),"x","")</f>
        <v/>
      </c>
      <c r="W891" s="55" t="str">
        <f>IF(AND(OR(L891="131",M891="131"),H891='131-CT'!$E$7),"x","")</f>
        <v/>
      </c>
      <c r="X891" s="55" t="str">
        <f>IF(AND(B891&gt;='IN-NX'!$P$3,B891&lt;='IN-NX'!$Q$3,'IN-NX'!$D$7=D891,OR(LEFT(TH!L891,2)="15",LEFT(TH!M891,2)="15")),"x","")</f>
        <v/>
      </c>
      <c r="Y891" s="55" t="str">
        <f>IF(AND(OR(LEFT(TH!L891,2)="15",LEFT(TH!M891,2)="15"),'152-CT'!$J$8=TH!F891),"x","")</f>
        <v/>
      </c>
      <c r="Z891" s="55" t="str">
        <f>IF(AND(OR(LEFT(TH!L891,2)="15",LEFT(TH!M891,2)="15"),TK!$E$7=TH!F891),"x","")</f>
        <v/>
      </c>
      <c r="AA891" s="55" t="str">
        <f>IF(AND(B891&lt;=NKC!$N$8,B891&gt;=NKC!$M$8),"x","")</f>
        <v/>
      </c>
    </row>
    <row r="892" spans="1:30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37"/>
        <v>11</v>
      </c>
      <c r="C892" s="37">
        <v>41215</v>
      </c>
      <c r="D892" s="37" t="s">
        <v>405</v>
      </c>
      <c r="E892" s="37">
        <v>41215</v>
      </c>
      <c r="F892" s="40" t="s">
        <v>455</v>
      </c>
      <c r="G892" s="580" t="s">
        <v>401</v>
      </c>
      <c r="H892" s="45"/>
      <c r="I892" s="277"/>
      <c r="J892" s="277"/>
      <c r="K892" s="38">
        <v>60000000</v>
      </c>
      <c r="L892" s="39" t="s">
        <v>8</v>
      </c>
      <c r="M892" s="39" t="s">
        <v>24</v>
      </c>
      <c r="N892" s="55" t="str">
        <f>IF(AND('331-CT'!$E$7=TH!H892,OR(L892="331",M892="331")),"x","")</f>
        <v/>
      </c>
      <c r="O892" s="55" t="str">
        <f>IF(AND($B892&gt;='111'!$N$11,$B892&lt;='111'!$O$11,OR($L892=$O$7,$M892=$O$7)),"x","")</f>
        <v/>
      </c>
      <c r="P892" s="55" t="str">
        <f>IF(AND($L892=$O$7,$B892&lt;'111'!$N$11),"x","")</f>
        <v/>
      </c>
      <c r="Q892" s="55" t="str">
        <f>IF(AND($M892=$O$7,$B892&lt;'111'!$N$11),"x","")</f>
        <v/>
      </c>
      <c r="R892" s="55" t="str">
        <f>IF(ISERROR(FIND('112'!$M$9,G892,1)),"",IF((AND(FIND('112'!$M$9,G892,1)&gt;=1,$B892&gt;='112'!$N$8,$B892&lt;='112'!$O$8,OR($L892='112'!$I$6,$M892='112'!$I$6))),"x",""))</f>
        <v/>
      </c>
      <c r="S892" s="55" t="str">
        <f>IF(ISERROR(FIND('112'!$M$9,G892,1)),"",IF((AND(LEFT(G892,2)=LEFT('112'!$M$9,2),B892&lt;'112'!$N$8,$L892='112'!$I$6)),"x",""))</f>
        <v/>
      </c>
      <c r="T892" s="55" t="str">
        <f>IF(ISERROR(FIND('112'!$M$9,G892,1)),"",IF((AND(RIGHT(G892,2)=RIGHT('112'!$M$9,2),B892&lt;'112'!$N$8,$M892='112'!$I$6)),"x",""))</f>
        <v/>
      </c>
      <c r="U892" s="55" t="str">
        <f>IF(AND('3411-CT'!$F$9=H892,OR(LEFT(L892,3)=$U$7,LEFT(M892,3)=$U$7)),"x","")</f>
        <v/>
      </c>
      <c r="V892" s="55" t="str">
        <f>IF(OR(TH!L892=TH!$V$7,M892=TH!$V$7),"x","")</f>
        <v/>
      </c>
      <c r="W892" s="55" t="str">
        <f>IF(AND(OR(L892="131",M892="131"),H892='131-CT'!$E$7),"x","")</f>
        <v/>
      </c>
      <c r="X892" s="55" t="str">
        <f>IF(AND(B892&gt;='IN-NX'!$P$3,B892&lt;='IN-NX'!$Q$3,'IN-NX'!$D$7=D892,OR(LEFT(TH!L892,2)="15",LEFT(TH!M892,2)="15")),"x","")</f>
        <v/>
      </c>
      <c r="Y892" s="55" t="str">
        <f>IF(AND(OR(LEFT(TH!L892,2)="15",LEFT(TH!M892,2)="15"),'152-CT'!$J$8=TH!F892),"x","")</f>
        <v/>
      </c>
      <c r="Z892" s="55" t="str">
        <f>IF(AND(OR(LEFT(TH!L892,2)="15",LEFT(TH!M892,2)="15"),TK!$E$7=TH!F892),"x","")</f>
        <v/>
      </c>
      <c r="AA892" s="55" t="str">
        <f>IF(AND(B892&lt;=NKC!$N$8,B892&gt;=NKC!$M$8),"x","")</f>
        <v/>
      </c>
    </row>
    <row r="893" spans="1:30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37"/>
        <v>11</v>
      </c>
      <c r="C893" s="37">
        <v>41215</v>
      </c>
      <c r="D893" s="37" t="s">
        <v>405</v>
      </c>
      <c r="E893" s="37">
        <v>41215</v>
      </c>
      <c r="F893" s="40" t="s">
        <v>407</v>
      </c>
      <c r="G893" s="580" t="s">
        <v>401</v>
      </c>
      <c r="H893" s="45"/>
      <c r="I893" s="277"/>
      <c r="J893" s="277"/>
      <c r="K893" s="38">
        <v>30000</v>
      </c>
      <c r="L893" s="39" t="s">
        <v>87</v>
      </c>
      <c r="M893" s="39" t="s">
        <v>24</v>
      </c>
      <c r="N893" s="55" t="str">
        <f>IF(AND('331-CT'!$E$7=TH!H893,OR(L893="331",M893="331")),"x","")</f>
        <v/>
      </c>
      <c r="O893" s="55" t="str">
        <f>IF(AND($B893&gt;='111'!$N$11,$B893&lt;='111'!$O$11,OR($L893=$O$7,$M893=$O$7)),"x","")</f>
        <v/>
      </c>
      <c r="P893" s="55" t="str">
        <f>IF(AND($L893=$O$7,$B893&lt;'111'!$N$11),"x","")</f>
        <v/>
      </c>
      <c r="Q893" s="55" t="str">
        <f>IF(AND($M893=$O$7,$B893&lt;'111'!$N$11),"x","")</f>
        <v/>
      </c>
      <c r="R893" s="55" t="str">
        <f>IF(ISERROR(FIND('112'!$M$9,G893,1)),"",IF((AND(FIND('112'!$M$9,G893,1)&gt;=1,$B893&gt;='112'!$N$8,$B893&lt;='112'!$O$8,OR($L893='112'!$I$6,$M893='112'!$I$6))),"x",""))</f>
        <v/>
      </c>
      <c r="S893" s="55" t="str">
        <f>IF(ISERROR(FIND('112'!$M$9,G893,1)),"",IF((AND(LEFT(G893,2)=LEFT('112'!$M$9,2),B893&lt;'112'!$N$8,$L893='112'!$I$6)),"x",""))</f>
        <v/>
      </c>
      <c r="T893" s="55" t="str">
        <f>IF(ISERROR(FIND('112'!$M$9,G893,1)),"",IF((AND(RIGHT(G893,2)=RIGHT('112'!$M$9,2),B893&lt;'112'!$N$8,$M893='112'!$I$6)),"x",""))</f>
        <v/>
      </c>
      <c r="U893" s="55" t="str">
        <f>IF(AND('3411-CT'!$F$9=H893,OR(LEFT(L893,3)=$U$7,LEFT(M893,3)=$U$7)),"x","")</f>
        <v/>
      </c>
      <c r="V893" s="55" t="str">
        <f>IF(OR(TH!L893=TH!$V$7,M893=TH!$V$7),"x","")</f>
        <v/>
      </c>
      <c r="W893" s="55" t="str">
        <f>IF(AND(OR(L893="131",M893="131"),H893='131-CT'!$E$7),"x","")</f>
        <v/>
      </c>
      <c r="X893" s="55" t="str">
        <f>IF(AND(B893&gt;='IN-NX'!$P$3,B893&lt;='IN-NX'!$Q$3,'IN-NX'!$D$7=D893,OR(LEFT(TH!L893,2)="15",LEFT(TH!M893,2)="15")),"x","")</f>
        <v/>
      </c>
      <c r="Y893" s="55" t="str">
        <f>IF(AND(OR(LEFT(TH!L893,2)="15",LEFT(TH!M893,2)="15"),'152-CT'!$J$8=TH!F893),"x","")</f>
        <v/>
      </c>
      <c r="Z893" s="55" t="str">
        <f>IF(AND(OR(LEFT(TH!L893,2)="15",LEFT(TH!M893,2)="15"),TK!$E$7=TH!F893),"x","")</f>
        <v/>
      </c>
      <c r="AA893" s="55" t="str">
        <f>IF(AND(B893&lt;=NKC!$N$8,B893&gt;=NKC!$M$8),"x","")</f>
        <v/>
      </c>
    </row>
    <row r="894" spans="1:30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37"/>
        <v>11</v>
      </c>
      <c r="C894" s="37">
        <v>41215</v>
      </c>
      <c r="D894" s="37" t="s">
        <v>405</v>
      </c>
      <c r="E894" s="37">
        <v>41215</v>
      </c>
      <c r="F894" s="40" t="s">
        <v>865</v>
      </c>
      <c r="G894" s="580" t="s">
        <v>401</v>
      </c>
      <c r="H894" s="45"/>
      <c r="I894" s="277"/>
      <c r="J894" s="277"/>
      <c r="K894" s="38">
        <v>18600</v>
      </c>
      <c r="L894" s="39" t="s">
        <v>87</v>
      </c>
      <c r="M894" s="39" t="s">
        <v>24</v>
      </c>
      <c r="N894" s="55" t="str">
        <f>IF(AND('331-CT'!$E$7=TH!H894,OR(L894="331",M894="331")),"x","")</f>
        <v/>
      </c>
      <c r="O894" s="55" t="str">
        <f>IF(AND($B894&gt;='111'!$N$11,$B894&lt;='111'!$O$11,OR($L894=$O$7,$M894=$O$7)),"x","")</f>
        <v/>
      </c>
      <c r="P894" s="55" t="str">
        <f>IF(AND($L894=$O$7,$B894&lt;'111'!$N$11),"x","")</f>
        <v/>
      </c>
      <c r="Q894" s="55" t="str">
        <f>IF(AND($M894=$O$7,$B894&lt;'111'!$N$11),"x","")</f>
        <v/>
      </c>
      <c r="R894" s="55" t="str">
        <f>IF(ISERROR(FIND('112'!$M$9,G894,1)),"",IF((AND(FIND('112'!$M$9,G894,1)&gt;=1,$B894&gt;='112'!$N$8,$B894&lt;='112'!$O$8,OR($L894='112'!$I$6,$M894='112'!$I$6))),"x",""))</f>
        <v/>
      </c>
      <c r="S894" s="55" t="str">
        <f>IF(ISERROR(FIND('112'!$M$9,G894,1)),"",IF((AND(LEFT(G894,2)=LEFT('112'!$M$9,2),B894&lt;'112'!$N$8,$L894='112'!$I$6)),"x",""))</f>
        <v/>
      </c>
      <c r="T894" s="55" t="str">
        <f>IF(ISERROR(FIND('112'!$M$9,G894,1)),"",IF((AND(RIGHT(G894,2)=RIGHT('112'!$M$9,2),B894&lt;'112'!$N$8,$M894='112'!$I$6)),"x",""))</f>
        <v/>
      </c>
      <c r="U894" s="55" t="str">
        <f>IF(AND('3411-CT'!$F$9=H894,OR(LEFT(L894,3)=$U$7,LEFT(M894,3)=$U$7)),"x","")</f>
        <v/>
      </c>
      <c r="V894" s="55" t="str">
        <f>IF(OR(TH!L894=TH!$V$7,M894=TH!$V$7),"x","")</f>
        <v/>
      </c>
      <c r="W894" s="55" t="str">
        <f>IF(AND(OR(L894="131",M894="131"),H894='131-CT'!$E$7),"x","")</f>
        <v/>
      </c>
      <c r="X894" s="55" t="str">
        <f>IF(AND(B894&gt;='IN-NX'!$P$3,B894&lt;='IN-NX'!$Q$3,'IN-NX'!$D$7=D894,OR(LEFT(TH!L894,2)="15",LEFT(TH!M894,2)="15")),"x","")</f>
        <v/>
      </c>
      <c r="Y894" s="55" t="str">
        <f>IF(AND(OR(LEFT(TH!L894,2)="15",LEFT(TH!M894,2)="15"),'152-CT'!$J$8=TH!F894),"x","")</f>
        <v/>
      </c>
      <c r="Z894" s="55" t="str">
        <f>IF(AND(OR(LEFT(TH!L894,2)="15",LEFT(TH!M894,2)="15"),TK!$E$7=TH!F894),"x","")</f>
        <v/>
      </c>
      <c r="AA894" s="55" t="str">
        <f>IF(AND(B894&lt;=NKC!$N$8,B894&gt;=NKC!$M$8),"x","")</f>
        <v/>
      </c>
    </row>
    <row r="895" spans="1:30" s="226" customFormat="1" ht="15.75" customHeight="1">
      <c r="A895" s="219" t="str">
        <f>IF(B895&lt;&gt;"",IF(AND(B895&gt;=_TM1,B895&lt;=_TM2,OR(TH!L895="1111",TH!M895="1111")),TH!D895,""),"")</f>
        <v/>
      </c>
      <c r="B895" s="36">
        <f t="shared" si="37"/>
        <v>11</v>
      </c>
      <c r="C895" s="37">
        <v>41220</v>
      </c>
      <c r="D895" s="37" t="s">
        <v>404</v>
      </c>
      <c r="E895" s="37">
        <v>41220</v>
      </c>
      <c r="F895" s="40" t="s">
        <v>406</v>
      </c>
      <c r="G895" s="40" t="s">
        <v>401</v>
      </c>
      <c r="H895" s="7" t="s">
        <v>416</v>
      </c>
      <c r="I895" s="277"/>
      <c r="J895" s="277"/>
      <c r="K895" s="38">
        <v>41606356</v>
      </c>
      <c r="L895" s="39" t="s">
        <v>24</v>
      </c>
      <c r="M895" s="39" t="s">
        <v>311</v>
      </c>
      <c r="N895" s="55" t="str">
        <f>IF(AND('331-CT'!$E$7=TH!H895,OR(L895="331",M895="331")),"x","")</f>
        <v/>
      </c>
      <c r="O895" s="55" t="str">
        <f>IF(AND($B895&gt;='111'!$N$11,$B895&lt;='111'!$O$11,OR($L895=$O$7,$M895=$O$7)),"x","")</f>
        <v/>
      </c>
      <c r="P895" s="55" t="str">
        <f>IF(AND($L895=$O$7,$B895&lt;'111'!$N$11),"x","")</f>
        <v/>
      </c>
      <c r="Q895" s="55" t="str">
        <f>IF(AND($M895=$O$7,$B895&lt;'111'!$N$11),"x","")</f>
        <v/>
      </c>
      <c r="R895" s="55" t="str">
        <f>IF(ISERROR(FIND('112'!$M$9,G895,1)),"",IF((AND(FIND('112'!$M$9,G895,1)&gt;=1,$B895&gt;='112'!$N$8,$B895&lt;='112'!$O$8,OR($L895='112'!$I$6,$M895='112'!$I$6))),"x",""))</f>
        <v/>
      </c>
      <c r="S895" s="55" t="str">
        <f>IF(ISERROR(FIND('112'!$M$9,G895,1)),"",IF((AND(LEFT(G895,2)=LEFT('112'!$M$9,2),B895&lt;'112'!$N$8,$L895='112'!$I$6)),"x",""))</f>
        <v/>
      </c>
      <c r="T895" s="55" t="str">
        <f>IF(ISERROR(FIND('112'!$M$9,G895,1)),"",IF((AND(RIGHT(G895,2)=RIGHT('112'!$M$9,2),B895&lt;'112'!$N$8,$M895='112'!$I$6)),"x",""))</f>
        <v/>
      </c>
      <c r="U895" s="55" t="str">
        <f>IF(AND('3411-CT'!$F$9=H895,OR(LEFT(L895,3)=$U$7,LEFT(M895,3)=$U$7)),"x","")</f>
        <v/>
      </c>
      <c r="V895" s="55" t="str">
        <f>IF(OR(TH!L895=TH!$V$7,M895=TH!$V$7),"x","")</f>
        <v/>
      </c>
      <c r="W895" s="55" t="str">
        <f>IF(AND(OR(L895="131",M895="131"),H895='131-CT'!$E$7),"x","")</f>
        <v/>
      </c>
      <c r="X895" s="55" t="str">
        <f>IF(AND(B895&gt;='IN-NX'!$P$3,B895&lt;='IN-NX'!$Q$3,'IN-NX'!$D$7=D895,OR(LEFT(TH!L895,2)="15",LEFT(TH!M895,2)="15")),"x","")</f>
        <v/>
      </c>
      <c r="Y895" s="55" t="str">
        <f>IF(AND(OR(LEFT(TH!L895,2)="15",LEFT(TH!M895,2)="15"),'152-CT'!$J$8=TH!F895),"x","")</f>
        <v/>
      </c>
      <c r="Z895" s="55" t="str">
        <f>IF(AND(OR(LEFT(TH!L895,2)="15",LEFT(TH!M895,2)="15"),TK!$E$7=TH!F895),"x","")</f>
        <v/>
      </c>
      <c r="AA895" s="55" t="str">
        <f>IF(AND(B895&lt;=NKC!$N$8,B895&gt;=NKC!$M$8),"x","")</f>
        <v/>
      </c>
      <c r="AD895" s="689"/>
    </row>
    <row r="896" spans="1:30" s="226" customFormat="1" ht="15.75" customHeight="1">
      <c r="A896" s="219" t="str">
        <f>IF(B896&lt;&gt;"",IF(AND(B896&gt;=_TM1,B896&lt;=_TM2,OR(TH!L896="1111",TH!M896="1111")),TH!D896,""),"")</f>
        <v/>
      </c>
      <c r="B896" s="36">
        <f t="shared" si="37"/>
        <v>11</v>
      </c>
      <c r="C896" s="37">
        <v>41221</v>
      </c>
      <c r="D896" s="37" t="s">
        <v>404</v>
      </c>
      <c r="E896" s="37">
        <v>41221</v>
      </c>
      <c r="F896" s="40" t="s">
        <v>406</v>
      </c>
      <c r="G896" s="40" t="s">
        <v>401</v>
      </c>
      <c r="H896" s="47" t="s">
        <v>1147</v>
      </c>
      <c r="I896" s="277"/>
      <c r="J896" s="277"/>
      <c r="K896" s="38">
        <v>18293000</v>
      </c>
      <c r="L896" s="39" t="s">
        <v>24</v>
      </c>
      <c r="M896" s="39" t="s">
        <v>311</v>
      </c>
      <c r="N896" s="55" t="str">
        <f>IF(AND('331-CT'!$E$7=TH!H896,OR(L896="331",M896="331")),"x","")</f>
        <v/>
      </c>
      <c r="O896" s="55" t="str">
        <f>IF(AND($B896&gt;='111'!$N$11,$B896&lt;='111'!$O$11,OR($L896=$O$7,$M896=$O$7)),"x","")</f>
        <v/>
      </c>
      <c r="P896" s="55" t="str">
        <f>IF(AND($L896=$O$7,$B896&lt;'111'!$N$11),"x","")</f>
        <v/>
      </c>
      <c r="Q896" s="55" t="str">
        <f>IF(AND($M896=$O$7,$B896&lt;'111'!$N$11),"x","")</f>
        <v/>
      </c>
      <c r="R896" s="55" t="str">
        <f>IF(ISERROR(FIND('112'!$M$9,G896,1)),"",IF((AND(FIND('112'!$M$9,G896,1)&gt;=1,$B896&gt;='112'!$N$8,$B896&lt;='112'!$O$8,OR($L896='112'!$I$6,$M896='112'!$I$6))),"x",""))</f>
        <v/>
      </c>
      <c r="S896" s="55" t="str">
        <f>IF(ISERROR(FIND('112'!$M$9,G896,1)),"",IF((AND(LEFT(G896,2)=LEFT('112'!$M$9,2),B896&lt;'112'!$N$8,$L896='112'!$I$6)),"x",""))</f>
        <v/>
      </c>
      <c r="T896" s="55" t="str">
        <f>IF(ISERROR(FIND('112'!$M$9,G896,1)),"",IF((AND(RIGHT(G896,2)=RIGHT('112'!$M$9,2),B896&lt;'112'!$N$8,$M896='112'!$I$6)),"x",""))</f>
        <v/>
      </c>
      <c r="U896" s="55" t="str">
        <f>IF(AND('3411-CT'!$F$9=H896,OR(LEFT(L896,3)=$U$7,LEFT(M896,3)=$U$7)),"x","")</f>
        <v/>
      </c>
      <c r="V896" s="55" t="str">
        <f>IF(OR(TH!L896=TH!$V$7,M896=TH!$V$7),"x","")</f>
        <v/>
      </c>
      <c r="W896" s="55" t="str">
        <f>IF(AND(OR(L896="131",M896="131"),H896='131-CT'!$E$7),"x","")</f>
        <v/>
      </c>
      <c r="X896" s="55" t="str">
        <f>IF(AND(B896&gt;='IN-NX'!$P$3,B896&lt;='IN-NX'!$Q$3,'IN-NX'!$D$7=D896,OR(LEFT(TH!L896,2)="15",LEFT(TH!M896,2)="15")),"x","")</f>
        <v/>
      </c>
      <c r="Y896" s="55" t="str">
        <f>IF(AND(OR(LEFT(TH!L896,2)="15",LEFT(TH!M896,2)="15"),'152-CT'!$J$8=TH!F896),"x","")</f>
        <v/>
      </c>
      <c r="Z896" s="55" t="str">
        <f>IF(AND(OR(LEFT(TH!L896,2)="15",LEFT(TH!M896,2)="15"),TK!$E$7=TH!F896),"x","")</f>
        <v/>
      </c>
      <c r="AA896" s="55" t="str">
        <f>IF(AND(B896&lt;=NKC!$N$8,B896&gt;=NKC!$M$8),"x","")</f>
        <v/>
      </c>
      <c r="AD896" s="689"/>
    </row>
    <row r="897" spans="1:30" s="226" customFormat="1" ht="15.75" customHeight="1">
      <c r="A897" s="219" t="str">
        <f>IF(B897&lt;&gt;"",IF(AND(B897&gt;=_TM1,B897&lt;=_TM2,OR(TH!L897="1111",TH!M897="1111")),TH!D897,""),"")</f>
        <v>T01</v>
      </c>
      <c r="B897" s="36">
        <f t="shared" si="37"/>
        <v>11</v>
      </c>
      <c r="C897" s="37">
        <v>41222</v>
      </c>
      <c r="D897" s="37" t="s">
        <v>463</v>
      </c>
      <c r="E897" s="37">
        <v>41222</v>
      </c>
      <c r="F897" s="40" t="s">
        <v>550</v>
      </c>
      <c r="G897" s="40" t="s">
        <v>401</v>
      </c>
      <c r="H897" s="45" t="s">
        <v>706</v>
      </c>
      <c r="I897" s="277"/>
      <c r="J897" s="277"/>
      <c r="K897" s="38">
        <v>41000000</v>
      </c>
      <c r="L897" s="39" t="s">
        <v>49</v>
      </c>
      <c r="M897" s="39" t="s">
        <v>24</v>
      </c>
      <c r="N897" s="55" t="str">
        <f>IF(AND('331-CT'!$E$7=TH!H897,OR(L897="331",M897="331")),"x","")</f>
        <v/>
      </c>
      <c r="O897" s="55" t="str">
        <f>IF(AND($B897&gt;='111'!$N$11,$B897&lt;='111'!$O$11,OR($L897=$O$7,$M897=$O$7)),"x","")</f>
        <v>x</v>
      </c>
      <c r="P897" s="55" t="str">
        <f>IF(AND($L897=$O$7,$B897&lt;'111'!$N$11),"x","")</f>
        <v/>
      </c>
      <c r="Q897" s="55" t="str">
        <f>IF(AND($M897=$O$7,$B897&lt;'111'!$N$11),"x","")</f>
        <v/>
      </c>
      <c r="R897" s="55" t="str">
        <f>IF(ISERROR(FIND('112'!$M$9,G897,1)),"",IF((AND(FIND('112'!$M$9,G897,1)&gt;=1,$B897&gt;='112'!$N$8,$B897&lt;='112'!$O$8,OR($L897='112'!$I$6,$M897='112'!$I$6))),"x",""))</f>
        <v/>
      </c>
      <c r="S897" s="55" t="str">
        <f>IF(ISERROR(FIND('112'!$M$9,G897,1)),"",IF((AND(LEFT(G897,2)=LEFT('112'!$M$9,2),B897&lt;'112'!$N$8,$L897='112'!$I$6)),"x",""))</f>
        <v/>
      </c>
      <c r="T897" s="55" t="str">
        <f>IF(ISERROR(FIND('112'!$M$9,G897,1)),"",IF((AND(RIGHT(G897,2)=RIGHT('112'!$M$9,2),B897&lt;'112'!$N$8,$M897='112'!$I$6)),"x",""))</f>
        <v/>
      </c>
      <c r="U897" s="55" t="str">
        <f>IF(AND('3411-CT'!$F$9=H897,OR(LEFT(L897,3)=$U$7,LEFT(M897,3)=$U$7)),"x","")</f>
        <v/>
      </c>
      <c r="V897" s="55" t="str">
        <f>IF(OR(TH!L897=TH!$V$7,M897=TH!$V$7),"x","")</f>
        <v/>
      </c>
      <c r="W897" s="55" t="str">
        <f>IF(AND(OR(L897="131",M897="131"),H897='131-CT'!$E$7),"x","")</f>
        <v/>
      </c>
      <c r="X897" s="55" t="str">
        <f>IF(AND(B897&gt;='IN-NX'!$P$3,B897&lt;='IN-NX'!$Q$3,'IN-NX'!$D$7=D897,OR(LEFT(TH!L897,2)="15",LEFT(TH!M897,2)="15")),"x","")</f>
        <v/>
      </c>
      <c r="Y897" s="55" t="str">
        <f>IF(AND(OR(LEFT(TH!L897,2)="15",LEFT(TH!M897,2)="15"),'152-CT'!$J$8=TH!F897),"x","")</f>
        <v/>
      </c>
      <c r="Z897" s="55" t="str">
        <f>IF(AND(OR(LEFT(TH!L897,2)="15",LEFT(TH!M897,2)="15"),TK!$E$7=TH!F897),"x","")</f>
        <v/>
      </c>
      <c r="AA897" s="55" t="str">
        <f>IF(AND(B897&lt;=NKC!$N$8,B897&gt;=NKC!$M$8),"x","")</f>
        <v/>
      </c>
    </row>
    <row r="898" spans="1:30" s="226" customFormat="1" ht="15.75" customHeight="1">
      <c r="A898" s="219" t="str">
        <f>IF(B898&lt;&gt;"",IF(AND(B898&gt;=_TM1,B898&lt;=_TM2,OR(TH!L898="1111",TH!M898="1111")),TH!D898,""),"")</f>
        <v>T02</v>
      </c>
      <c r="B898" s="36">
        <f t="shared" si="37"/>
        <v>11</v>
      </c>
      <c r="C898" s="37">
        <v>41222</v>
      </c>
      <c r="D898" s="37" t="s">
        <v>464</v>
      </c>
      <c r="E898" s="37">
        <v>41222</v>
      </c>
      <c r="F898" s="40" t="s">
        <v>550</v>
      </c>
      <c r="G898" s="40" t="s">
        <v>401</v>
      </c>
      <c r="H898" s="45" t="s">
        <v>706</v>
      </c>
      <c r="I898" s="277"/>
      <c r="J898" s="277"/>
      <c r="K898" s="38">
        <v>19000000</v>
      </c>
      <c r="L898" s="39" t="s">
        <v>49</v>
      </c>
      <c r="M898" s="39" t="s">
        <v>24</v>
      </c>
      <c r="N898" s="55" t="str">
        <f>IF(AND('331-CT'!$E$7=TH!H898,OR(L898="331",M898="331")),"x","")</f>
        <v/>
      </c>
      <c r="O898" s="55" t="str">
        <f>IF(AND($B898&gt;='111'!$N$11,$B898&lt;='111'!$O$11,OR($L898=$O$7,$M898=$O$7)),"x","")</f>
        <v>x</v>
      </c>
      <c r="P898" s="55" t="str">
        <f>IF(AND($L898=$O$7,$B898&lt;'111'!$N$11),"x","")</f>
        <v/>
      </c>
      <c r="Q898" s="55" t="str">
        <f>IF(AND($M898=$O$7,$B898&lt;'111'!$N$11),"x","")</f>
        <v/>
      </c>
      <c r="R898" s="55" t="str">
        <f>IF(ISERROR(FIND('112'!$M$9,G898,1)),"",IF((AND(FIND('112'!$M$9,G898,1)&gt;=1,$B898&gt;='112'!$N$8,$B898&lt;='112'!$O$8,OR($L898='112'!$I$6,$M898='112'!$I$6))),"x",""))</f>
        <v/>
      </c>
      <c r="S898" s="55" t="str">
        <f>IF(ISERROR(FIND('112'!$M$9,G898,1)),"",IF((AND(LEFT(G898,2)=LEFT('112'!$M$9,2),B898&lt;'112'!$N$8,$L898='112'!$I$6)),"x",""))</f>
        <v/>
      </c>
      <c r="T898" s="55" t="str">
        <f>IF(ISERROR(FIND('112'!$M$9,G898,1)),"",IF((AND(RIGHT(G898,2)=RIGHT('112'!$M$9,2),B898&lt;'112'!$N$8,$M898='112'!$I$6)),"x",""))</f>
        <v/>
      </c>
      <c r="U898" s="55" t="str">
        <f>IF(AND('3411-CT'!$F$9=H898,OR(LEFT(L898,3)=$U$7,LEFT(M898,3)=$U$7)),"x","")</f>
        <v/>
      </c>
      <c r="V898" s="55" t="str">
        <f>IF(OR(TH!L898=TH!$V$7,M898=TH!$V$7),"x","")</f>
        <v/>
      </c>
      <c r="W898" s="55" t="str">
        <f>IF(AND(OR(L898="131",M898="131"),H898='131-CT'!$E$7),"x","")</f>
        <v/>
      </c>
      <c r="X898" s="55" t="str">
        <f>IF(AND(B898&gt;='IN-NX'!$P$3,B898&lt;='IN-NX'!$Q$3,'IN-NX'!$D$7=D898,OR(LEFT(TH!L898,2)="15",LEFT(TH!M898,2)="15")),"x","")</f>
        <v/>
      </c>
      <c r="Y898" s="55" t="str">
        <f>IF(AND(OR(LEFT(TH!L898,2)="15",LEFT(TH!M898,2)="15"),'152-CT'!$J$8=TH!F898),"x","")</f>
        <v/>
      </c>
      <c r="Z898" s="55" t="str">
        <f>IF(AND(OR(LEFT(TH!L898,2)="15",LEFT(TH!M898,2)="15"),TK!$E$7=TH!F898),"x","")</f>
        <v/>
      </c>
      <c r="AA898" s="55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>C11</v>
      </c>
      <c r="B899" s="36">
        <f t="shared" si="37"/>
        <v>11</v>
      </c>
      <c r="C899" s="37">
        <v>41223</v>
      </c>
      <c r="D899" s="37" t="s">
        <v>490</v>
      </c>
      <c r="E899" s="37">
        <v>41223</v>
      </c>
      <c r="F899" s="40" t="s">
        <v>1078</v>
      </c>
      <c r="G899" s="40" t="s">
        <v>1079</v>
      </c>
      <c r="H899" s="45" t="s">
        <v>456</v>
      </c>
      <c r="I899" s="277"/>
      <c r="J899" s="277"/>
      <c r="K899" s="38">
        <v>4580000</v>
      </c>
      <c r="L899" s="39" t="s">
        <v>194</v>
      </c>
      <c r="M899" s="39" t="s">
        <v>49</v>
      </c>
      <c r="N899" s="55" t="str">
        <f>IF(AND('331-CT'!$E$7=TH!H899,OR(L899="331",M899="331")),"x","")</f>
        <v/>
      </c>
      <c r="O899" s="55" t="str">
        <f>IF(AND($B899&gt;='111'!$N$11,$B899&lt;='111'!$O$11,OR($L899=$O$7,$M899=$O$7)),"x","")</f>
        <v>x</v>
      </c>
      <c r="P899" s="55" t="str">
        <f>IF(AND($L899=$O$7,$B899&lt;'111'!$N$11),"x","")</f>
        <v/>
      </c>
      <c r="Q899" s="55" t="str">
        <f>IF(AND($M899=$O$7,$B899&lt;'111'!$N$11),"x","")</f>
        <v/>
      </c>
      <c r="R899" s="55" t="str">
        <f>IF(ISERROR(FIND('112'!$M$9,G899,1)),"",IF((AND(FIND('112'!$M$9,G899,1)&gt;=1,$B899&gt;='112'!$N$8,$B899&lt;='112'!$O$8,OR($L899='112'!$I$6,$M899='112'!$I$6))),"x",""))</f>
        <v/>
      </c>
      <c r="S899" s="55" t="str">
        <f>IF(ISERROR(FIND('112'!$M$9,G899,1)),"",IF((AND(LEFT(G899,2)=LEFT('112'!$M$9,2),B899&lt;'112'!$N$8,$L899='112'!$I$6)),"x",""))</f>
        <v/>
      </c>
      <c r="T899" s="55" t="str">
        <f>IF(ISERROR(FIND('112'!$M$9,G899,1)),"",IF((AND(RIGHT(G899,2)=RIGHT('112'!$M$9,2),B899&lt;'112'!$N$8,$M899='112'!$I$6)),"x",""))</f>
        <v/>
      </c>
      <c r="U899" s="55" t="str">
        <f>IF(AND('3411-CT'!$F$9=H899,OR(LEFT(L899,3)=$U$7,LEFT(M899,3)=$U$7)),"x","")</f>
        <v/>
      </c>
      <c r="V899" s="55" t="str">
        <f>IF(OR(TH!L899=TH!$V$7,M899=TH!$V$7),"x","")</f>
        <v/>
      </c>
      <c r="W899" s="55" t="str">
        <f>IF(AND(OR(L899="131",M899="131"),H899='131-CT'!$E$7),"x","")</f>
        <v/>
      </c>
      <c r="X899" s="55" t="str">
        <f>IF(AND(B899&gt;='IN-NX'!$P$3,B899&lt;='IN-NX'!$Q$3,'IN-NX'!$D$7=D899,OR(LEFT(TH!L899,2)="15",LEFT(TH!M899,2)="15")),"x","")</f>
        <v/>
      </c>
      <c r="Y899" s="55" t="str">
        <f>IF(AND(OR(LEFT(TH!L899,2)="15",LEFT(TH!M899,2)="15"),'152-CT'!$J$8=TH!F899),"x","")</f>
        <v/>
      </c>
      <c r="Z899" s="55" t="str">
        <f>IF(AND(OR(LEFT(TH!L899,2)="15",LEFT(TH!M899,2)="15"),TK!$E$7=TH!F899),"x","")</f>
        <v/>
      </c>
      <c r="AA899" s="55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>C11</v>
      </c>
      <c r="B900" s="36">
        <f t="shared" si="37"/>
        <v>11</v>
      </c>
      <c r="C900" s="37">
        <v>41223</v>
      </c>
      <c r="D900" s="37" t="s">
        <v>490</v>
      </c>
      <c r="E900" s="37">
        <v>41223</v>
      </c>
      <c r="F900" s="40" t="s">
        <v>413</v>
      </c>
      <c r="G900" s="40" t="s">
        <v>1079</v>
      </c>
      <c r="H900" s="45" t="s">
        <v>456</v>
      </c>
      <c r="I900" s="277"/>
      <c r="J900" s="277"/>
      <c r="K900" s="38">
        <v>458000</v>
      </c>
      <c r="L900" s="39" t="s">
        <v>9</v>
      </c>
      <c r="M900" s="39" t="s">
        <v>49</v>
      </c>
      <c r="N900" s="55" t="str">
        <f>IF(AND('331-CT'!$E$7=TH!H900,OR(L900="331",M900="331")),"x","")</f>
        <v/>
      </c>
      <c r="O900" s="55" t="str">
        <f>IF(AND($B900&gt;='111'!$N$11,$B900&lt;='111'!$O$11,OR($L900=$O$7,$M900=$O$7)),"x","")</f>
        <v>x</v>
      </c>
      <c r="P900" s="55" t="str">
        <f>IF(AND($L900=$O$7,$B900&lt;'111'!$N$11),"x","")</f>
        <v/>
      </c>
      <c r="Q900" s="55" t="str">
        <f>IF(AND($M900=$O$7,$B900&lt;'111'!$N$11),"x","")</f>
        <v/>
      </c>
      <c r="R900" s="55" t="str">
        <f>IF(ISERROR(FIND('112'!$M$9,G900,1)),"",IF((AND(FIND('112'!$M$9,G900,1)&gt;=1,$B900&gt;='112'!$N$8,$B900&lt;='112'!$O$8,OR($L900='112'!$I$6,$M900='112'!$I$6))),"x",""))</f>
        <v/>
      </c>
      <c r="S900" s="55" t="str">
        <f>IF(ISERROR(FIND('112'!$M$9,G900,1)),"",IF((AND(LEFT(G900,2)=LEFT('112'!$M$9,2),B900&lt;'112'!$N$8,$L900='112'!$I$6)),"x",""))</f>
        <v/>
      </c>
      <c r="T900" s="55" t="str">
        <f>IF(ISERROR(FIND('112'!$M$9,G900,1)),"",IF((AND(RIGHT(G900,2)=RIGHT('112'!$M$9,2),B900&lt;'112'!$N$8,$M900='112'!$I$6)),"x",""))</f>
        <v/>
      </c>
      <c r="U900" s="55" t="str">
        <f>IF(AND('3411-CT'!$F$9=H900,OR(LEFT(L900,3)=$U$7,LEFT(M900,3)=$U$7)),"x","")</f>
        <v/>
      </c>
      <c r="V900" s="55" t="str">
        <f>IF(OR(TH!L900=TH!$V$7,M900=TH!$V$7),"x","")</f>
        <v/>
      </c>
      <c r="W900" s="55" t="str">
        <f>IF(AND(OR(L900="131",M900="131"),H900='131-CT'!$E$7),"x","")</f>
        <v/>
      </c>
      <c r="X900" s="55" t="str">
        <f>IF(AND(B900&gt;='IN-NX'!$P$3,B900&lt;='IN-NX'!$Q$3,'IN-NX'!$D$7=D900,OR(LEFT(TH!L900,2)="15",LEFT(TH!M900,2)="15")),"x","")</f>
        <v/>
      </c>
      <c r="Y900" s="55" t="str">
        <f>IF(AND(OR(LEFT(TH!L900,2)="15",LEFT(TH!M900,2)="15"),'152-CT'!$J$8=TH!F900),"x","")</f>
        <v/>
      </c>
      <c r="Z900" s="55" t="str">
        <f>IF(AND(OR(LEFT(TH!L900,2)="15",LEFT(TH!M900,2)="15"),TK!$E$7=TH!F900),"x","")</f>
        <v/>
      </c>
      <c r="AA900" s="55" t="str">
        <f>IF(AND(B900&lt;=NKC!$N$8,B900&gt;=NKC!$M$8),"x","")</f>
        <v/>
      </c>
    </row>
    <row r="901" spans="1:30" s="226" customFormat="1" ht="15.75" customHeight="1">
      <c r="A901" s="219" t="str">
        <f>IF(B901&lt;&gt;"",IF(AND(B901&gt;=_TM1,B901&lt;=_TM2,OR(TH!L901="1111",TH!M901="1111")),TH!D901,""),"")</f>
        <v>C12</v>
      </c>
      <c r="B901" s="36">
        <f t="shared" si="37"/>
        <v>11</v>
      </c>
      <c r="C901" s="37">
        <v>41232</v>
      </c>
      <c r="D901" s="37" t="s">
        <v>491</v>
      </c>
      <c r="E901" s="37">
        <v>41232</v>
      </c>
      <c r="F901" s="40" t="s">
        <v>1080</v>
      </c>
      <c r="G901" s="40" t="s">
        <v>1081</v>
      </c>
      <c r="H901" s="45" t="s">
        <v>456</v>
      </c>
      <c r="I901" s="277"/>
      <c r="J901" s="277"/>
      <c r="K901" s="38">
        <v>1340000</v>
      </c>
      <c r="L901" s="39" t="s">
        <v>194</v>
      </c>
      <c r="M901" s="39" t="s">
        <v>49</v>
      </c>
      <c r="N901" s="55" t="str">
        <f>IF(AND('331-CT'!$E$7=TH!H901,OR(L901="331",M901="331")),"x","")</f>
        <v/>
      </c>
      <c r="O901" s="55" t="str">
        <f>IF(AND($B901&gt;='111'!$N$11,$B901&lt;='111'!$O$11,OR($L901=$O$7,$M901=$O$7)),"x","")</f>
        <v>x</v>
      </c>
      <c r="P901" s="55" t="str">
        <f>IF(AND($L901=$O$7,$B901&lt;'111'!$N$11),"x","")</f>
        <v/>
      </c>
      <c r="Q901" s="55" t="str">
        <f>IF(AND($M901=$O$7,$B901&lt;'111'!$N$11),"x","")</f>
        <v/>
      </c>
      <c r="R901" s="55" t="str">
        <f>IF(ISERROR(FIND('112'!$M$9,G901,1)),"",IF((AND(FIND('112'!$M$9,G901,1)&gt;=1,$B901&gt;='112'!$N$8,$B901&lt;='112'!$O$8,OR($L901='112'!$I$6,$M901='112'!$I$6))),"x",""))</f>
        <v/>
      </c>
      <c r="S901" s="55" t="str">
        <f>IF(ISERROR(FIND('112'!$M$9,G901,1)),"",IF((AND(LEFT(G901,2)=LEFT('112'!$M$9,2),B901&lt;'112'!$N$8,$L901='112'!$I$6)),"x",""))</f>
        <v/>
      </c>
      <c r="T901" s="55" t="str">
        <f>IF(ISERROR(FIND('112'!$M$9,G901,1)),"",IF((AND(RIGHT(G901,2)=RIGHT('112'!$M$9,2),B901&lt;'112'!$N$8,$M901='112'!$I$6)),"x",""))</f>
        <v/>
      </c>
      <c r="U901" s="55" t="str">
        <f>IF(AND('3411-CT'!$F$9=H901,OR(LEFT(L901,3)=$U$7,LEFT(M901,3)=$U$7)),"x","")</f>
        <v/>
      </c>
      <c r="V901" s="55" t="str">
        <f>IF(OR(TH!L901=TH!$V$7,M901=TH!$V$7),"x","")</f>
        <v/>
      </c>
      <c r="W901" s="55" t="str">
        <f>IF(AND(OR(L901="131",M901="131"),H901='131-CT'!$E$7),"x","")</f>
        <v/>
      </c>
      <c r="X901" s="55" t="str">
        <f>IF(AND(B901&gt;='IN-NX'!$P$3,B901&lt;='IN-NX'!$Q$3,'IN-NX'!$D$7=D901,OR(LEFT(TH!L901,2)="15",LEFT(TH!M901,2)="15")),"x","")</f>
        <v/>
      </c>
      <c r="Y901" s="55" t="str">
        <f>IF(AND(OR(LEFT(TH!L901,2)="15",LEFT(TH!M901,2)="15"),'152-CT'!$J$8=TH!F901),"x","")</f>
        <v/>
      </c>
      <c r="Z901" s="55" t="str">
        <f>IF(AND(OR(LEFT(TH!L901,2)="15",LEFT(TH!M901,2)="15"),TK!$E$7=TH!F901),"x","")</f>
        <v/>
      </c>
      <c r="AA901" s="55" t="str">
        <f>IF(AND(B901&lt;=NKC!$N$8,B901&gt;=NKC!$M$8),"x","")</f>
        <v/>
      </c>
    </row>
    <row r="902" spans="1:30" s="226" customFormat="1" ht="15.75" customHeight="1">
      <c r="A902" s="219" t="str">
        <f>IF(B902&lt;&gt;"",IF(AND(B902&gt;=_TM1,B902&lt;=_TM2,OR(TH!L902="1111",TH!M902="1111")),TH!D902,""),"")</f>
        <v>C12</v>
      </c>
      <c r="B902" s="36">
        <f t="shared" si="37"/>
        <v>11</v>
      </c>
      <c r="C902" s="37">
        <v>41232</v>
      </c>
      <c r="D902" s="37" t="s">
        <v>491</v>
      </c>
      <c r="E902" s="37">
        <v>41232</v>
      </c>
      <c r="F902" s="40" t="s">
        <v>413</v>
      </c>
      <c r="G902" s="40" t="s">
        <v>1081</v>
      </c>
      <c r="H902" s="45" t="s">
        <v>456</v>
      </c>
      <c r="I902" s="277"/>
      <c r="J902" s="277"/>
      <c r="K902" s="38">
        <v>134000</v>
      </c>
      <c r="L902" s="39" t="s">
        <v>9</v>
      </c>
      <c r="M902" s="39" t="s">
        <v>49</v>
      </c>
      <c r="N902" s="55" t="str">
        <f>IF(AND('331-CT'!$E$7=TH!H902,OR(L902="331",M902="331")),"x","")</f>
        <v/>
      </c>
      <c r="O902" s="55" t="str">
        <f>IF(AND($B902&gt;='111'!$N$11,$B902&lt;='111'!$O$11,OR($L902=$O$7,$M902=$O$7)),"x","")</f>
        <v>x</v>
      </c>
      <c r="P902" s="55" t="str">
        <f>IF(AND($L902=$O$7,$B902&lt;'111'!$N$11),"x","")</f>
        <v/>
      </c>
      <c r="Q902" s="55" t="str">
        <f>IF(AND($M902=$O$7,$B902&lt;'111'!$N$11),"x","")</f>
        <v/>
      </c>
      <c r="R902" s="55" t="str">
        <f>IF(ISERROR(FIND('112'!$M$9,G902,1)),"",IF((AND(FIND('112'!$M$9,G902,1)&gt;=1,$B902&gt;='112'!$N$8,$B902&lt;='112'!$O$8,OR($L902='112'!$I$6,$M902='112'!$I$6))),"x",""))</f>
        <v/>
      </c>
      <c r="S902" s="55" t="str">
        <f>IF(ISERROR(FIND('112'!$M$9,G902,1)),"",IF((AND(LEFT(G902,2)=LEFT('112'!$M$9,2),B902&lt;'112'!$N$8,$L902='112'!$I$6)),"x",""))</f>
        <v/>
      </c>
      <c r="T902" s="55" t="str">
        <f>IF(ISERROR(FIND('112'!$M$9,G902,1)),"",IF((AND(RIGHT(G902,2)=RIGHT('112'!$M$9,2),B902&lt;'112'!$N$8,$M902='112'!$I$6)),"x",""))</f>
        <v/>
      </c>
      <c r="U902" s="55" t="str">
        <f>IF(AND('3411-CT'!$F$9=H902,OR(LEFT(L902,3)=$U$7,LEFT(M902,3)=$U$7)),"x","")</f>
        <v/>
      </c>
      <c r="V902" s="55" t="str">
        <f>IF(OR(TH!L902=TH!$V$7,M902=TH!$V$7),"x","")</f>
        <v/>
      </c>
      <c r="W902" s="55" t="str">
        <f>IF(AND(OR(L902="131",M902="131"),H902='131-CT'!$E$7),"x","")</f>
        <v/>
      </c>
      <c r="X902" s="55" t="str">
        <f>IF(AND(B902&gt;='IN-NX'!$P$3,B902&lt;='IN-NX'!$Q$3,'IN-NX'!$D$7=D902,OR(LEFT(TH!L902,2)="15",LEFT(TH!M902,2)="15")),"x","")</f>
        <v/>
      </c>
      <c r="Y902" s="55" t="str">
        <f>IF(AND(OR(LEFT(TH!L902,2)="15",LEFT(TH!M902,2)="15"),'152-CT'!$J$8=TH!F902),"x","")</f>
        <v/>
      </c>
      <c r="Z902" s="55" t="str">
        <f>IF(AND(OR(LEFT(TH!L902,2)="15",LEFT(TH!M902,2)="15"),TK!$E$7=TH!F902),"x","")</f>
        <v/>
      </c>
      <c r="AA902" s="55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37"/>
        <v>11</v>
      </c>
      <c r="C903" s="37">
        <v>41237</v>
      </c>
      <c r="D903" s="37" t="s">
        <v>404</v>
      </c>
      <c r="E903" s="37">
        <v>41237</v>
      </c>
      <c r="F903" s="40" t="s">
        <v>453</v>
      </c>
      <c r="G903" s="40" t="s">
        <v>401</v>
      </c>
      <c r="H903" s="45"/>
      <c r="I903" s="277"/>
      <c r="J903" s="277"/>
      <c r="K903" s="38">
        <v>10978</v>
      </c>
      <c r="L903" s="39" t="s">
        <v>24</v>
      </c>
      <c r="M903" s="39" t="s">
        <v>41</v>
      </c>
      <c r="N903" s="55" t="str">
        <f>IF(AND('331-CT'!$E$7=TH!H903,OR(L903="331",M903="331")),"x","")</f>
        <v/>
      </c>
      <c r="O903" s="55" t="str">
        <f>IF(AND($B903&gt;='111'!$N$11,$B903&lt;='111'!$O$11,OR($L903=$O$7,$M903=$O$7)),"x","")</f>
        <v/>
      </c>
      <c r="P903" s="55" t="str">
        <f>IF(AND($L903=$O$7,$B903&lt;'111'!$N$11),"x","")</f>
        <v/>
      </c>
      <c r="Q903" s="55" t="str">
        <f>IF(AND($M903=$O$7,$B903&lt;'111'!$N$11),"x","")</f>
        <v/>
      </c>
      <c r="R903" s="55" t="str">
        <f>IF(ISERROR(FIND('112'!$M$9,G903,1)),"",IF((AND(FIND('112'!$M$9,G903,1)&gt;=1,$B903&gt;='112'!$N$8,$B903&lt;='112'!$O$8,OR($L903='112'!$I$6,$M903='112'!$I$6))),"x",""))</f>
        <v/>
      </c>
      <c r="S903" s="55" t="str">
        <f>IF(ISERROR(FIND('112'!$M$9,G903,1)),"",IF((AND(LEFT(G903,2)=LEFT('112'!$M$9,2),B903&lt;'112'!$N$8,$L903='112'!$I$6)),"x",""))</f>
        <v/>
      </c>
      <c r="T903" s="55" t="str">
        <f>IF(ISERROR(FIND('112'!$M$9,G903,1)),"",IF((AND(RIGHT(G903,2)=RIGHT('112'!$M$9,2),B903&lt;'112'!$N$8,$M903='112'!$I$6)),"x",""))</f>
        <v/>
      </c>
      <c r="U903" s="55" t="str">
        <f>IF(AND('3411-CT'!$F$9=H903,OR(LEFT(L903,3)=$U$7,LEFT(M903,3)=$U$7)),"x","")</f>
        <v/>
      </c>
      <c r="V903" s="55" t="str">
        <f>IF(OR(TH!L903=TH!$V$7,M903=TH!$V$7),"x","")</f>
        <v/>
      </c>
      <c r="W903" s="55" t="str">
        <f>IF(AND(OR(L903="131",M903="131"),H903='131-CT'!$E$7),"x","")</f>
        <v/>
      </c>
      <c r="X903" s="55" t="str">
        <f>IF(AND(B903&gt;='IN-NX'!$P$3,B903&lt;='IN-NX'!$Q$3,'IN-NX'!$D$7=D903,OR(LEFT(TH!L903,2)="15",LEFT(TH!M903,2)="15")),"x","")</f>
        <v/>
      </c>
      <c r="Y903" s="55" t="str">
        <f>IF(AND(OR(LEFT(TH!L903,2)="15",LEFT(TH!M903,2)="15"),'152-CT'!$J$8=TH!F903),"x","")</f>
        <v/>
      </c>
      <c r="Z903" s="55" t="str">
        <f>IF(AND(OR(LEFT(TH!L903,2)="15",LEFT(TH!M903,2)="15"),TK!$E$7=TH!F903),"x","")</f>
        <v/>
      </c>
      <c r="AA903" s="55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>
        <f t="shared" ref="B904:B1269" si="39">IF(C904&lt;&gt;"",MONTH(C904),"")</f>
        <v>11</v>
      </c>
      <c r="C904" s="37">
        <v>41239</v>
      </c>
      <c r="D904" s="37" t="s">
        <v>404</v>
      </c>
      <c r="E904" s="37">
        <v>41239</v>
      </c>
      <c r="F904" s="40" t="s">
        <v>406</v>
      </c>
      <c r="G904" s="40" t="s">
        <v>401</v>
      </c>
      <c r="H904" s="7" t="s">
        <v>1131</v>
      </c>
      <c r="I904" s="278"/>
      <c r="J904" s="278"/>
      <c r="K904" s="38">
        <v>9064000</v>
      </c>
      <c r="L904" s="39" t="s">
        <v>24</v>
      </c>
      <c r="M904" s="39" t="s">
        <v>311</v>
      </c>
      <c r="N904" s="55" t="str">
        <f>IF(AND('331-CT'!$E$7=TH!H904,OR(L904="331",M904="331")),"x","")</f>
        <v/>
      </c>
      <c r="O904" s="55" t="str">
        <f>IF(AND($B904&gt;='111'!$N$11,$B904&lt;='111'!$O$11,OR($L904=$O$7,$M904=$O$7)),"x","")</f>
        <v/>
      </c>
      <c r="P904" s="55" t="str">
        <f>IF(AND($L904=$O$7,$B904&lt;'111'!$N$11),"x","")</f>
        <v/>
      </c>
      <c r="Q904" s="55" t="str">
        <f>IF(AND($M904=$O$7,$B904&lt;'111'!$N$11),"x","")</f>
        <v/>
      </c>
      <c r="R904" s="55" t="str">
        <f>IF(ISERROR(FIND('112'!$M$9,G904,1)),"",IF((AND(FIND('112'!$M$9,G904,1)&gt;=1,$B904&gt;='112'!$N$8,$B904&lt;='112'!$O$8,OR($L904='112'!$I$6,$M904='112'!$I$6))),"x",""))</f>
        <v/>
      </c>
      <c r="S904" s="55" t="str">
        <f>IF(ISERROR(FIND('112'!$M$9,G904,1)),"",IF((AND(LEFT(G904,2)=LEFT('112'!$M$9,2),B904&lt;'112'!$N$8,$L904='112'!$I$6)),"x",""))</f>
        <v/>
      </c>
      <c r="T904" s="55" t="str">
        <f>IF(ISERROR(FIND('112'!$M$9,G904,1)),"",IF((AND(RIGHT(G904,2)=RIGHT('112'!$M$9,2),B904&lt;'112'!$N$8,$M904='112'!$I$6)),"x",""))</f>
        <v/>
      </c>
      <c r="U904" s="55" t="str">
        <f>IF(AND('3411-CT'!$F$9=H904,OR(LEFT(L904,3)=$U$7,LEFT(M904,3)=$U$7)),"x","")</f>
        <v/>
      </c>
      <c r="V904" s="55" t="str">
        <f>IF(OR(TH!L904=TH!$V$7,M904=TH!$V$7),"x","")</f>
        <v/>
      </c>
      <c r="W904" s="55" t="str">
        <f>IF(AND(OR(L904="131",M904="131"),H904='131-CT'!$E$7),"x","")</f>
        <v/>
      </c>
      <c r="X904" s="55" t="str">
        <f>IF(AND(B904&gt;='IN-NX'!$P$3,B904&lt;='IN-NX'!$Q$3,'IN-NX'!$D$7=D904,OR(LEFT(TH!L904,2)="15",LEFT(TH!M904,2)="15")),"x","")</f>
        <v/>
      </c>
      <c r="Y904" s="55" t="str">
        <f>IF(AND(OR(LEFT(TH!L904,2)="15",LEFT(TH!M904,2)="15"),'152-CT'!$J$8=TH!F904),"x","")</f>
        <v/>
      </c>
      <c r="Z904" s="55" t="str">
        <f>IF(AND(OR(LEFT(TH!L904,2)="15",LEFT(TH!M904,2)="15"),TK!$E$7=TH!F904),"x","")</f>
        <v/>
      </c>
      <c r="AA904" s="55" t="str">
        <f>IF(AND(B904&lt;=NKC!$N$8,B904&gt;=NKC!$M$8),"x","")</f>
        <v/>
      </c>
      <c r="AD904" s="689"/>
    </row>
    <row r="905" spans="1:30" s="226" customFormat="1" ht="15.75" customHeight="1">
      <c r="A905" s="219" t="str">
        <f>IF(B905&lt;&gt;"",IF(AND(B905&gt;=_TM1,B905&lt;=_TM2,OR(TH!L905="1111",TH!M905="1111")),TH!D905,""),"")</f>
        <v>T03</v>
      </c>
      <c r="B905" s="36">
        <f t="shared" si="39"/>
        <v>11</v>
      </c>
      <c r="C905" s="37">
        <v>41242</v>
      </c>
      <c r="D905" s="37" t="s">
        <v>492</v>
      </c>
      <c r="E905" s="37">
        <v>41242</v>
      </c>
      <c r="F905" s="40" t="s">
        <v>550</v>
      </c>
      <c r="G905" s="40" t="s">
        <v>401</v>
      </c>
      <c r="H905" s="45" t="s">
        <v>1082</v>
      </c>
      <c r="I905" s="277"/>
      <c r="J905" s="277"/>
      <c r="K905" s="38">
        <v>9000000</v>
      </c>
      <c r="L905" s="39" t="s">
        <v>49</v>
      </c>
      <c r="M905" s="39" t="s">
        <v>24</v>
      </c>
      <c r="N905" s="55" t="str">
        <f>IF(AND('331-CT'!$E$7=TH!H905,OR(L905="331",M905="331")),"x","")</f>
        <v/>
      </c>
      <c r="O905" s="55" t="str">
        <f>IF(AND($B905&gt;='111'!$N$11,$B905&lt;='111'!$O$11,OR($L905=$O$7,$M905=$O$7)),"x","")</f>
        <v>x</v>
      </c>
      <c r="P905" s="55" t="str">
        <f>IF(AND($L905=$O$7,$B905&lt;'111'!$N$11),"x","")</f>
        <v/>
      </c>
      <c r="Q905" s="55" t="str">
        <f>IF(AND($M905=$O$7,$B905&lt;'111'!$N$11),"x","")</f>
        <v/>
      </c>
      <c r="R905" s="55" t="str">
        <f>IF(ISERROR(FIND('112'!$M$9,G905,1)),"",IF((AND(FIND('112'!$M$9,G905,1)&gt;=1,$B905&gt;='112'!$N$8,$B905&lt;='112'!$O$8,OR($L905='112'!$I$6,$M905='112'!$I$6))),"x",""))</f>
        <v/>
      </c>
      <c r="S905" s="55" t="str">
        <f>IF(ISERROR(FIND('112'!$M$9,G905,1)),"",IF((AND(LEFT(G905,2)=LEFT('112'!$M$9,2),B905&lt;'112'!$N$8,$L905='112'!$I$6)),"x",""))</f>
        <v/>
      </c>
      <c r="T905" s="55" t="str">
        <f>IF(ISERROR(FIND('112'!$M$9,G905,1)),"",IF((AND(RIGHT(G905,2)=RIGHT('112'!$M$9,2),B905&lt;'112'!$N$8,$M905='112'!$I$6)),"x",""))</f>
        <v/>
      </c>
      <c r="U905" s="55" t="str">
        <f>IF(AND('3411-CT'!$F$9=H905,OR(LEFT(L905,3)=$U$7,LEFT(M905,3)=$U$7)),"x","")</f>
        <v/>
      </c>
      <c r="V905" s="55" t="str">
        <f>IF(OR(TH!L905=TH!$V$7,M905=TH!$V$7),"x","")</f>
        <v/>
      </c>
      <c r="W905" s="55" t="str">
        <f>IF(AND(OR(L905="131",M905="131"),H905='131-CT'!$E$7),"x","")</f>
        <v/>
      </c>
      <c r="X905" s="55" t="str">
        <f>IF(AND(B905&gt;='IN-NX'!$P$3,B905&lt;='IN-NX'!$Q$3,'IN-NX'!$D$7=D905,OR(LEFT(TH!L905,2)="15",LEFT(TH!M905,2)="15")),"x","")</f>
        <v/>
      </c>
      <c r="Y905" s="55" t="str">
        <f>IF(AND(OR(LEFT(TH!L905,2)="15",LEFT(TH!M905,2)="15"),'152-CT'!$J$8=TH!F905),"x","")</f>
        <v/>
      </c>
      <c r="Z905" s="55" t="str">
        <f>IF(AND(OR(LEFT(TH!L905,2)="15",LEFT(TH!M905,2)="15"),TK!$E$7=TH!F905),"x","")</f>
        <v/>
      </c>
      <c r="AA905" s="55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39"/>
        <v>12</v>
      </c>
      <c r="C906" s="37">
        <v>41244</v>
      </c>
      <c r="D906" s="37" t="s">
        <v>404</v>
      </c>
      <c r="E906" s="37">
        <v>41244</v>
      </c>
      <c r="F906" s="40" t="s">
        <v>406</v>
      </c>
      <c r="G906" s="40" t="s">
        <v>401</v>
      </c>
      <c r="H906" s="7" t="s">
        <v>416</v>
      </c>
      <c r="I906" s="277"/>
      <c r="J906" s="277"/>
      <c r="K906" s="38">
        <v>25265680</v>
      </c>
      <c r="L906" s="39" t="s">
        <v>24</v>
      </c>
      <c r="M906" s="39" t="s">
        <v>311</v>
      </c>
      <c r="N906" s="55" t="str">
        <f>IF(AND('331-CT'!$E$7=TH!H906,OR(L906="331",M906="331")),"x","")</f>
        <v/>
      </c>
      <c r="O906" s="55" t="str">
        <f>IF(AND($B906&gt;='111'!$N$11,$B906&lt;='111'!$O$11,OR($L906=$O$7,$M906=$O$7)),"x","")</f>
        <v/>
      </c>
      <c r="P906" s="55" t="str">
        <f>IF(AND($L906=$O$7,$B906&lt;'111'!$N$11),"x","")</f>
        <v/>
      </c>
      <c r="Q906" s="55" t="str">
        <f>IF(AND($M906=$O$7,$B906&lt;'111'!$N$11),"x","")</f>
        <v/>
      </c>
      <c r="R906" s="55" t="str">
        <f>IF(ISERROR(FIND('112'!$M$9,G906,1)),"",IF((AND(FIND('112'!$M$9,G906,1)&gt;=1,$B906&gt;='112'!$N$8,$B906&lt;='112'!$O$8,OR($L906='112'!$I$6,$M906='112'!$I$6))),"x",""))</f>
        <v/>
      </c>
      <c r="S906" s="55" t="str">
        <f>IF(ISERROR(FIND('112'!$M$9,G906,1)),"",IF((AND(LEFT(G906,2)=LEFT('112'!$M$9,2),B906&lt;'112'!$N$8,$L906='112'!$I$6)),"x",""))</f>
        <v/>
      </c>
      <c r="T906" s="55" t="str">
        <f>IF(ISERROR(FIND('112'!$M$9,G906,1)),"",IF((AND(RIGHT(G906,2)=RIGHT('112'!$M$9,2),B906&lt;'112'!$N$8,$M906='112'!$I$6)),"x",""))</f>
        <v/>
      </c>
      <c r="U906" s="55" t="str">
        <f>IF(AND('3411-CT'!$F$9=H906,OR(LEFT(L906,3)=$U$7,LEFT(M906,3)=$U$7)),"x","")</f>
        <v/>
      </c>
      <c r="V906" s="55" t="str">
        <f>IF(OR(TH!L906=TH!$V$7,M906=TH!$V$7),"x","")</f>
        <v/>
      </c>
      <c r="W906" s="55" t="str">
        <f>IF(AND(OR(L906="131",M906="131"),H906='131-CT'!$E$7),"x","")</f>
        <v/>
      </c>
      <c r="X906" s="55" t="str">
        <f>IF(AND(B906&gt;='IN-NX'!$P$3,B906&lt;='IN-NX'!$Q$3,'IN-NX'!$D$7=D906,OR(LEFT(TH!L906,2)="15",LEFT(TH!M906,2)="15")),"x","")</f>
        <v/>
      </c>
      <c r="Y906" s="55" t="str">
        <f>IF(AND(OR(LEFT(TH!L906,2)="15",LEFT(TH!M906,2)="15"),'152-CT'!$J$8=TH!F906),"x","")</f>
        <v/>
      </c>
      <c r="Z906" s="55" t="str">
        <f>IF(AND(OR(LEFT(TH!L906,2)="15",LEFT(TH!M906,2)="15"),TK!$E$7=TH!F906),"x","")</f>
        <v/>
      </c>
      <c r="AA906" s="55" t="str">
        <f>IF(AND(B906&lt;=NKC!$N$8,B906&gt;=NKC!$M$8),"x","")</f>
        <v/>
      </c>
      <c r="AD906" s="689"/>
    </row>
    <row r="907" spans="1:30" s="226" customFormat="1" ht="15.75" customHeight="1">
      <c r="A907" s="219" t="str">
        <f>IF(B907&lt;&gt;"",IF(AND(B907&gt;=_TM1,B907&lt;=_TM2,OR(TH!L907="1111",TH!M907="1111")),TH!D907,""),"")</f>
        <v>C13</v>
      </c>
      <c r="B907" s="36">
        <f t="shared" si="39"/>
        <v>12</v>
      </c>
      <c r="C907" s="37">
        <v>41246</v>
      </c>
      <c r="D907" s="37" t="s">
        <v>493</v>
      </c>
      <c r="E907" s="37">
        <v>41246</v>
      </c>
      <c r="F907" s="40" t="s">
        <v>606</v>
      </c>
      <c r="G907" s="40" t="s">
        <v>1083</v>
      </c>
      <c r="H907" s="225" t="s">
        <v>608</v>
      </c>
      <c r="I907" s="278"/>
      <c r="J907" s="278"/>
      <c r="K907" s="38">
        <v>448464</v>
      </c>
      <c r="L907" s="39" t="s">
        <v>87</v>
      </c>
      <c r="M907" s="39" t="s">
        <v>49</v>
      </c>
      <c r="N907" s="55" t="str">
        <f>IF(AND('331-CT'!$E$7=TH!H907,OR(L907="331",M907="331")),"x","")</f>
        <v/>
      </c>
      <c r="O907" s="55" t="str">
        <f>IF(AND($B907&gt;='111'!$N$11,$B907&lt;='111'!$O$11,OR($L907=$O$7,$M907=$O$7)),"x","")</f>
        <v>x</v>
      </c>
      <c r="P907" s="55" t="str">
        <f>IF(AND($L907=$O$7,$B907&lt;'111'!$N$11),"x","")</f>
        <v/>
      </c>
      <c r="Q907" s="55" t="str">
        <f>IF(AND($M907=$O$7,$B907&lt;'111'!$N$11),"x","")</f>
        <v/>
      </c>
      <c r="R907" s="55" t="str">
        <f>IF(ISERROR(FIND('112'!$M$9,G907,1)),"",IF((AND(FIND('112'!$M$9,G907,1)&gt;=1,$B907&gt;='112'!$N$8,$B907&lt;='112'!$O$8,OR($L907='112'!$I$6,$M907='112'!$I$6))),"x",""))</f>
        <v/>
      </c>
      <c r="S907" s="55" t="str">
        <f>IF(ISERROR(FIND('112'!$M$9,G907,1)),"",IF((AND(LEFT(G907,2)=LEFT('112'!$M$9,2),B907&lt;'112'!$N$8,$L907='112'!$I$6)),"x",""))</f>
        <v/>
      </c>
      <c r="T907" s="55" t="str">
        <f>IF(ISERROR(FIND('112'!$M$9,G907,1)),"",IF((AND(RIGHT(G907,2)=RIGHT('112'!$M$9,2),B907&lt;'112'!$N$8,$M907='112'!$I$6)),"x",""))</f>
        <v/>
      </c>
      <c r="U907" s="55" t="str">
        <f>IF(AND('3411-CT'!$F$9=H907,OR(LEFT(L907,3)=$U$7,LEFT(M907,3)=$U$7)),"x","")</f>
        <v/>
      </c>
      <c r="V907" s="55" t="str">
        <f>IF(OR(TH!L907=TH!$V$7,M907=TH!$V$7),"x","")</f>
        <v/>
      </c>
      <c r="W907" s="55" t="str">
        <f>IF(AND(OR(L907="131",M907="131"),H907='131-CT'!$E$7),"x","")</f>
        <v/>
      </c>
      <c r="X907" s="55" t="str">
        <f>IF(AND(B907&gt;='IN-NX'!$P$3,B907&lt;='IN-NX'!$Q$3,'IN-NX'!$D$7=D907,OR(LEFT(TH!L907,2)="15",LEFT(TH!M907,2)="15")),"x","")</f>
        <v/>
      </c>
      <c r="Y907" s="55" t="str">
        <f>IF(AND(OR(LEFT(TH!L907,2)="15",LEFT(TH!M907,2)="15"),'152-CT'!$J$8=TH!F907),"x","")</f>
        <v/>
      </c>
      <c r="Z907" s="55" t="str">
        <f>IF(AND(OR(LEFT(TH!L907,2)="15",LEFT(TH!M907,2)="15"),TK!$E$7=TH!F907),"x","")</f>
        <v/>
      </c>
      <c r="AA907" s="55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>C13</v>
      </c>
      <c r="B908" s="36">
        <f t="shared" si="39"/>
        <v>12</v>
      </c>
      <c r="C908" s="37">
        <v>41246</v>
      </c>
      <c r="D908" s="37" t="s">
        <v>493</v>
      </c>
      <c r="E908" s="37">
        <v>41246</v>
      </c>
      <c r="F908" s="40" t="s">
        <v>609</v>
      </c>
      <c r="G908" s="40" t="s">
        <v>1083</v>
      </c>
      <c r="H908" s="45" t="s">
        <v>608</v>
      </c>
      <c r="I908" s="277"/>
      <c r="J908" s="277"/>
      <c r="K908" s="38">
        <v>44847</v>
      </c>
      <c r="L908" s="39" t="s">
        <v>9</v>
      </c>
      <c r="M908" s="39" t="s">
        <v>49</v>
      </c>
      <c r="N908" s="55" t="str">
        <f>IF(AND('331-CT'!$E$7=TH!H908,OR(L908="331",M908="331")),"x","")</f>
        <v/>
      </c>
      <c r="O908" s="55" t="str">
        <f>IF(AND($B908&gt;='111'!$N$11,$B908&lt;='111'!$O$11,OR($L908=$O$7,$M908=$O$7)),"x","")</f>
        <v>x</v>
      </c>
      <c r="P908" s="55" t="str">
        <f>IF(AND($L908=$O$7,$B908&lt;'111'!$N$11),"x","")</f>
        <v/>
      </c>
      <c r="Q908" s="55" t="str">
        <f>IF(AND($M908=$O$7,$B908&lt;'111'!$N$11),"x","")</f>
        <v/>
      </c>
      <c r="R908" s="55" t="str">
        <f>IF(ISERROR(FIND('112'!$M$9,G908,1)),"",IF((AND(FIND('112'!$M$9,G908,1)&gt;=1,$B908&gt;='112'!$N$8,$B908&lt;='112'!$O$8,OR($L908='112'!$I$6,$M908='112'!$I$6))),"x",""))</f>
        <v/>
      </c>
      <c r="S908" s="55" t="str">
        <f>IF(ISERROR(FIND('112'!$M$9,G908,1)),"",IF((AND(LEFT(G908,2)=LEFT('112'!$M$9,2),B908&lt;'112'!$N$8,$L908='112'!$I$6)),"x",""))</f>
        <v/>
      </c>
      <c r="T908" s="55" t="str">
        <f>IF(ISERROR(FIND('112'!$M$9,G908,1)),"",IF((AND(RIGHT(G908,2)=RIGHT('112'!$M$9,2),B908&lt;'112'!$N$8,$M908='112'!$I$6)),"x",""))</f>
        <v/>
      </c>
      <c r="U908" s="55" t="str">
        <f>IF(AND('3411-CT'!$F$9=H908,OR(LEFT(L908,3)=$U$7,LEFT(M908,3)=$U$7)),"x","")</f>
        <v/>
      </c>
      <c r="V908" s="55" t="str">
        <f>IF(OR(TH!L908=TH!$V$7,M908=TH!$V$7),"x","")</f>
        <v/>
      </c>
      <c r="W908" s="55" t="str">
        <f>IF(AND(OR(L908="131",M908="131"),H908='131-CT'!$E$7),"x","")</f>
        <v/>
      </c>
      <c r="X908" s="55" t="str">
        <f>IF(AND(B908&gt;='IN-NX'!$P$3,B908&lt;='IN-NX'!$Q$3,'IN-NX'!$D$7=D908,OR(LEFT(TH!L908,2)="15",LEFT(TH!M908,2)="15")),"x","")</f>
        <v/>
      </c>
      <c r="Y908" s="55" t="str">
        <f>IF(AND(OR(LEFT(TH!L908,2)="15",LEFT(TH!M908,2)="15"),'152-CT'!$J$8=TH!F908),"x","")</f>
        <v/>
      </c>
      <c r="Z908" s="55" t="str">
        <f>IF(AND(OR(LEFT(TH!L908,2)="15",LEFT(TH!M908,2)="15"),TK!$E$7=TH!F908),"x","")</f>
        <v/>
      </c>
      <c r="AA908" s="55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39"/>
        <v>12</v>
      </c>
      <c r="C909" s="37">
        <v>41247</v>
      </c>
      <c r="D909" s="37" t="s">
        <v>404</v>
      </c>
      <c r="E909" s="37">
        <v>41247</v>
      </c>
      <c r="F909" s="40" t="s">
        <v>406</v>
      </c>
      <c r="G909" s="40" t="s">
        <v>401</v>
      </c>
      <c r="H909" s="7" t="s">
        <v>1146</v>
      </c>
      <c r="I909" s="277"/>
      <c r="J909" s="277"/>
      <c r="K909" s="38">
        <v>10094700</v>
      </c>
      <c r="L909" s="39" t="s">
        <v>24</v>
      </c>
      <c r="M909" s="39" t="s">
        <v>311</v>
      </c>
      <c r="N909" s="55" t="str">
        <f>IF(AND('331-CT'!$E$7=TH!H909,OR(L909="331",M909="331")),"x","")</f>
        <v/>
      </c>
      <c r="O909" s="55" t="str">
        <f>IF(AND($B909&gt;='111'!$N$11,$B909&lt;='111'!$O$11,OR($L909=$O$7,$M909=$O$7)),"x","")</f>
        <v/>
      </c>
      <c r="P909" s="55" t="str">
        <f>IF(AND($L909=$O$7,$B909&lt;'111'!$N$11),"x","")</f>
        <v/>
      </c>
      <c r="Q909" s="55" t="str">
        <f>IF(AND($M909=$O$7,$B909&lt;'111'!$N$11),"x","")</f>
        <v/>
      </c>
      <c r="R909" s="55" t="str">
        <f>IF(ISERROR(FIND('112'!$M$9,G909,1)),"",IF((AND(FIND('112'!$M$9,G909,1)&gt;=1,$B909&gt;='112'!$N$8,$B909&lt;='112'!$O$8,OR($L909='112'!$I$6,$M909='112'!$I$6))),"x",""))</f>
        <v/>
      </c>
      <c r="S909" s="55" t="str">
        <f>IF(ISERROR(FIND('112'!$M$9,G909,1)),"",IF((AND(LEFT(G909,2)=LEFT('112'!$M$9,2),B909&lt;'112'!$N$8,$L909='112'!$I$6)),"x",""))</f>
        <v/>
      </c>
      <c r="T909" s="55" t="str">
        <f>IF(ISERROR(FIND('112'!$M$9,G909,1)),"",IF((AND(RIGHT(G909,2)=RIGHT('112'!$M$9,2),B909&lt;'112'!$N$8,$M909='112'!$I$6)),"x",""))</f>
        <v/>
      </c>
      <c r="U909" s="55" t="str">
        <f>IF(AND('3411-CT'!$F$9=H909,OR(LEFT(L909,3)=$U$7,LEFT(M909,3)=$U$7)),"x","")</f>
        <v/>
      </c>
      <c r="V909" s="55" t="str">
        <f>IF(OR(TH!L909=TH!$V$7,M909=TH!$V$7),"x","")</f>
        <v/>
      </c>
      <c r="W909" s="55" t="str">
        <f>IF(AND(OR(L909="131",M909="131"),H909='131-CT'!$E$7),"x","")</f>
        <v/>
      </c>
      <c r="X909" s="55" t="str">
        <f>IF(AND(B909&gt;='IN-NX'!$P$3,B909&lt;='IN-NX'!$Q$3,'IN-NX'!$D$7=D909,OR(LEFT(TH!L909,2)="15",LEFT(TH!M909,2)="15")),"x","")</f>
        <v/>
      </c>
      <c r="Y909" s="55" t="str">
        <f>IF(AND(OR(LEFT(TH!L909,2)="15",LEFT(TH!M909,2)="15"),'152-CT'!$J$8=TH!F909),"x","")</f>
        <v/>
      </c>
      <c r="Z909" s="55" t="str">
        <f>IF(AND(OR(LEFT(TH!L909,2)="15",LEFT(TH!M909,2)="15"),TK!$E$7=TH!F909),"x","")</f>
        <v/>
      </c>
      <c r="AA909" s="55" t="str">
        <f>IF(AND(B909&lt;=NKC!$N$8,B909&gt;=NKC!$M$8),"x","")</f>
        <v/>
      </c>
      <c r="AD909" s="689"/>
    </row>
    <row r="910" spans="1:30" s="226" customFormat="1" ht="15.75" customHeight="1">
      <c r="A910" s="219" t="str">
        <f>IF(B910&lt;&gt;"",IF(AND(B910&gt;=_TM1,B910&lt;=_TM2,OR(TH!L910="1111",TH!M910="1111")),TH!D910,""),"")</f>
        <v>T04</v>
      </c>
      <c r="B910" s="36">
        <f t="shared" si="39"/>
        <v>12</v>
      </c>
      <c r="C910" s="37">
        <v>41247</v>
      </c>
      <c r="D910" s="37" t="s">
        <v>497</v>
      </c>
      <c r="E910" s="37">
        <v>41247</v>
      </c>
      <c r="F910" s="40" t="s">
        <v>550</v>
      </c>
      <c r="G910" s="580" t="s">
        <v>401</v>
      </c>
      <c r="H910" s="207" t="s">
        <v>706</v>
      </c>
      <c r="I910" s="277"/>
      <c r="J910" s="277"/>
      <c r="K910" s="38">
        <v>25000000</v>
      </c>
      <c r="L910" s="39" t="s">
        <v>49</v>
      </c>
      <c r="M910" s="39" t="s">
        <v>24</v>
      </c>
      <c r="N910" s="55" t="str">
        <f>IF(AND('331-CT'!$E$7=TH!H910,OR(L910="331",M910="331")),"x","")</f>
        <v/>
      </c>
      <c r="O910" s="55" t="str">
        <f>IF(AND($B910&gt;='111'!$N$11,$B910&lt;='111'!$O$11,OR($L910=$O$7,$M910=$O$7)),"x","")</f>
        <v>x</v>
      </c>
      <c r="P910" s="55" t="str">
        <f>IF(AND($L910=$O$7,$B910&lt;'111'!$N$11),"x","")</f>
        <v/>
      </c>
      <c r="Q910" s="55" t="str">
        <f>IF(AND($M910=$O$7,$B910&lt;'111'!$N$11),"x","")</f>
        <v/>
      </c>
      <c r="R910" s="55" t="str">
        <f>IF(ISERROR(FIND('112'!$M$9,G910,1)),"",IF((AND(FIND('112'!$M$9,G910,1)&gt;=1,$B910&gt;='112'!$N$8,$B910&lt;='112'!$O$8,OR($L910='112'!$I$6,$M910='112'!$I$6))),"x",""))</f>
        <v/>
      </c>
      <c r="S910" s="55" t="str">
        <f>IF(ISERROR(FIND('112'!$M$9,G910,1)),"",IF((AND(LEFT(G910,2)=LEFT('112'!$M$9,2),B910&lt;'112'!$N$8,$L910='112'!$I$6)),"x",""))</f>
        <v/>
      </c>
      <c r="T910" s="55" t="str">
        <f>IF(ISERROR(FIND('112'!$M$9,G910,1)),"",IF((AND(RIGHT(G910,2)=RIGHT('112'!$M$9,2),B910&lt;'112'!$N$8,$M910='112'!$I$6)),"x",""))</f>
        <v/>
      </c>
      <c r="U910" s="55" t="str">
        <f>IF(AND('3411-CT'!$F$9=H910,OR(LEFT(L910,3)=$U$7,LEFT(M910,3)=$U$7)),"x","")</f>
        <v/>
      </c>
      <c r="V910" s="55" t="str">
        <f>IF(OR(TH!L910=TH!$V$7,M910=TH!$V$7),"x","")</f>
        <v/>
      </c>
      <c r="W910" s="55" t="str">
        <f>IF(AND(OR(L910="131",M910="131"),H910='131-CT'!$E$7),"x","")</f>
        <v/>
      </c>
      <c r="X910" s="55" t="str">
        <f>IF(AND(B910&gt;='IN-NX'!$P$3,B910&lt;='IN-NX'!$Q$3,'IN-NX'!$D$7=D910,OR(LEFT(TH!L910,2)="15",LEFT(TH!M910,2)="15")),"x","")</f>
        <v/>
      </c>
      <c r="Y910" s="55" t="str">
        <f>IF(AND(OR(LEFT(TH!L910,2)="15",LEFT(TH!M910,2)="15"),'152-CT'!$J$8=TH!F910),"x","")</f>
        <v/>
      </c>
      <c r="Z910" s="55" t="str">
        <f>IF(AND(OR(LEFT(TH!L910,2)="15",LEFT(TH!M910,2)="15"),TK!$E$7=TH!F910),"x","")</f>
        <v/>
      </c>
      <c r="AA910" s="55" t="str">
        <f>IF(AND(B910&lt;=NKC!$N$8,B910&gt;=NKC!$M$8),"x","")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39"/>
        <v>12</v>
      </c>
      <c r="C911" s="37">
        <v>41251</v>
      </c>
      <c r="D911" s="205" t="s">
        <v>518</v>
      </c>
      <c r="E911" s="37">
        <v>41251</v>
      </c>
      <c r="F911" s="40" t="s">
        <v>1084</v>
      </c>
      <c r="G911" s="580" t="s">
        <v>1085</v>
      </c>
      <c r="H911" s="207" t="s">
        <v>481</v>
      </c>
      <c r="I911" s="277">
        <v>754</v>
      </c>
      <c r="J911" s="277">
        <v>13338</v>
      </c>
      <c r="K911" s="38">
        <v>10056852</v>
      </c>
      <c r="L911" s="39" t="s">
        <v>186</v>
      </c>
      <c r="M911" s="699" t="s">
        <v>8</v>
      </c>
      <c r="N911" s="55" t="str">
        <f>IF(AND('331-CT'!$E$7=TH!H911,OR(L911="331",M911="331")),"x","")</f>
        <v/>
      </c>
      <c r="O911" s="55" t="str">
        <f>IF(AND($B911&gt;='111'!$N$11,$B911&lt;='111'!$O$11,OR($L911=$O$7,$M911=$O$7)),"x","")</f>
        <v/>
      </c>
      <c r="P911" s="55" t="str">
        <f>IF(AND($L911=$O$7,$B911&lt;'111'!$N$11),"x","")</f>
        <v/>
      </c>
      <c r="Q911" s="55" t="str">
        <f>IF(AND($M911=$O$7,$B911&lt;'111'!$N$11),"x","")</f>
        <v/>
      </c>
      <c r="R911" s="55" t="str">
        <f>IF(ISERROR(FIND('112'!$M$9,G911,1)),"",IF((AND(FIND('112'!$M$9,G911,1)&gt;=1,$B911&gt;='112'!$N$8,$B911&lt;='112'!$O$8,OR($L911='112'!$I$6,$M911='112'!$I$6))),"x",""))</f>
        <v/>
      </c>
      <c r="S911" s="55" t="str">
        <f>IF(ISERROR(FIND('112'!$M$9,G911,1)),"",IF((AND(LEFT(G911,2)=LEFT('112'!$M$9,2),B911&lt;'112'!$N$8,$L911='112'!$I$6)),"x",""))</f>
        <v/>
      </c>
      <c r="T911" s="55" t="str">
        <f>IF(ISERROR(FIND('112'!$M$9,G911,1)),"",IF((AND(RIGHT(G911,2)=RIGHT('112'!$M$9,2),B911&lt;'112'!$N$8,$M911='112'!$I$6)),"x",""))</f>
        <v/>
      </c>
      <c r="U911" s="55" t="str">
        <f>IF(AND('3411-CT'!$F$9=H911,OR(LEFT(L911,3)=$U$7,LEFT(M911,3)=$U$7)),"x","")</f>
        <v/>
      </c>
      <c r="V911" s="55" t="str">
        <f>IF(OR(TH!L911=TH!$V$7,M911=TH!$V$7),"x","")</f>
        <v/>
      </c>
      <c r="W911" s="55" t="str">
        <f>IF(AND(OR(L911="131",M911="131"),H911='131-CT'!$E$7),"x","")</f>
        <v/>
      </c>
      <c r="X911" s="55" t="str">
        <f>IF(AND(B911&gt;='IN-NX'!$P$3,B911&lt;='IN-NX'!$Q$3,'IN-NX'!$D$7=D911,OR(LEFT(TH!L911,2)="15",LEFT(TH!M911,2)="15")),"x","")</f>
        <v/>
      </c>
      <c r="Y911" s="55" t="str">
        <f>IF(AND(OR(LEFT(TH!L911,2)="15",LEFT(TH!M911,2)="15"),'152-CT'!$J$8=TH!F911),"x","")</f>
        <v/>
      </c>
      <c r="Z911" s="55" t="str">
        <f>IF(AND(OR(LEFT(TH!L911,2)="15",LEFT(TH!M911,2)="15"),TK!$E$7=TH!F911),"x","")</f>
        <v/>
      </c>
      <c r="AA911" s="55" t="str">
        <f>IF(AND(B911&lt;=NKC!$N$8,B911&gt;=NKC!$M$8),"x","")</f>
        <v/>
      </c>
      <c r="AC911" s="226" t="str">
        <f>IF(ISNA(VLOOKUP(F911,NXT!$C$18:$C$347,1,0)),x,"")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39"/>
        <v>12</v>
      </c>
      <c r="C912" s="37">
        <v>41251</v>
      </c>
      <c r="D912" s="205" t="s">
        <v>518</v>
      </c>
      <c r="E912" s="205">
        <v>41251</v>
      </c>
      <c r="F912" s="206" t="s">
        <v>1086</v>
      </c>
      <c r="G912" s="206" t="s">
        <v>1085</v>
      </c>
      <c r="H912" s="207" t="s">
        <v>481</v>
      </c>
      <c r="I912" s="277">
        <v>209</v>
      </c>
      <c r="J912" s="277">
        <v>18314</v>
      </c>
      <c r="K912" s="38">
        <v>3827626</v>
      </c>
      <c r="L912" s="208" t="s">
        <v>186</v>
      </c>
      <c r="M912" s="699" t="s">
        <v>8</v>
      </c>
      <c r="N912" s="55" t="str">
        <f>IF(AND('331-CT'!$E$7=TH!H912,OR(L912="331",M912="331")),"x","")</f>
        <v/>
      </c>
      <c r="O912" s="55" t="str">
        <f>IF(AND($B912&gt;='111'!$N$11,$B912&lt;='111'!$O$11,OR($L912=$O$7,$M912=$O$7)),"x","")</f>
        <v/>
      </c>
      <c r="P912" s="55" t="str">
        <f>IF(AND($L912=$O$7,$B912&lt;'111'!$N$11),"x","")</f>
        <v/>
      </c>
      <c r="Q912" s="55" t="str">
        <f>IF(AND($M912=$O$7,$B912&lt;'111'!$N$11),"x","")</f>
        <v/>
      </c>
      <c r="R912" s="55" t="str">
        <f>IF(ISERROR(FIND('112'!$M$9,G912,1)),"",IF((AND(FIND('112'!$M$9,G912,1)&gt;=1,$B912&gt;='112'!$N$8,$B912&lt;='112'!$O$8,OR($L912='112'!$I$6,$M912='112'!$I$6))),"x",""))</f>
        <v/>
      </c>
      <c r="S912" s="55" t="str">
        <f>IF(ISERROR(FIND('112'!$M$9,G912,1)),"",IF((AND(LEFT(G912,2)=LEFT('112'!$M$9,2),B912&lt;'112'!$N$8,$L912='112'!$I$6)),"x",""))</f>
        <v/>
      </c>
      <c r="T912" s="55" t="str">
        <f>IF(ISERROR(FIND('112'!$M$9,G912,1)),"",IF((AND(RIGHT(G912,2)=RIGHT('112'!$M$9,2),B912&lt;'112'!$N$8,$M912='112'!$I$6)),"x",""))</f>
        <v/>
      </c>
      <c r="U912" s="55" t="str">
        <f>IF(AND('3411-CT'!$F$9=H912,OR(LEFT(L912,3)=$U$7,LEFT(M912,3)=$U$7)),"x","")</f>
        <v/>
      </c>
      <c r="V912" s="55" t="str">
        <f>IF(OR(TH!L912=TH!$V$7,M912=TH!$V$7),"x","")</f>
        <v/>
      </c>
      <c r="W912" s="55" t="str">
        <f>IF(AND(OR(L912="131",M912="131"),H912='131-CT'!$E$7),"x","")</f>
        <v/>
      </c>
      <c r="X912" s="55" t="str">
        <f>IF(AND(B912&gt;='IN-NX'!$P$3,B912&lt;='IN-NX'!$Q$3,'IN-NX'!$D$7=D912,OR(LEFT(TH!L912,2)="15",LEFT(TH!M912,2)="15")),"x","")</f>
        <v/>
      </c>
      <c r="Y912" s="55" t="str">
        <f>IF(AND(OR(LEFT(TH!L912,2)="15",LEFT(TH!M912,2)="15"),'152-CT'!$J$8=TH!F912),"x","")</f>
        <v/>
      </c>
      <c r="Z912" s="55" t="str">
        <f>IF(AND(OR(LEFT(TH!L912,2)="15",LEFT(TH!M912,2)="15"),TK!$E$7=TH!F912),"x","")</f>
        <v/>
      </c>
      <c r="AA912" s="55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39"/>
        <v>12</v>
      </c>
      <c r="C913" s="37">
        <v>41251</v>
      </c>
      <c r="D913" s="205" t="s">
        <v>518</v>
      </c>
      <c r="E913" s="205">
        <v>41251</v>
      </c>
      <c r="F913" s="206" t="s">
        <v>1087</v>
      </c>
      <c r="G913" s="206" t="s">
        <v>1085</v>
      </c>
      <c r="H913" s="207" t="s">
        <v>481</v>
      </c>
      <c r="I913" s="277">
        <v>150</v>
      </c>
      <c r="J913" s="277">
        <v>28350</v>
      </c>
      <c r="K913" s="38">
        <v>4252500</v>
      </c>
      <c r="L913" s="208" t="s">
        <v>186</v>
      </c>
      <c r="M913" s="699" t="s">
        <v>8</v>
      </c>
      <c r="N913" s="55" t="str">
        <f>IF(AND('331-CT'!$E$7=TH!H913,OR(L913="331",M913="331")),"x","")</f>
        <v/>
      </c>
      <c r="O913" s="55" t="str">
        <f>IF(AND($B913&gt;='111'!$N$11,$B913&lt;='111'!$O$11,OR($L913=$O$7,$M913=$O$7)),"x","")</f>
        <v/>
      </c>
      <c r="P913" s="55" t="str">
        <f>IF(AND($L913=$O$7,$B913&lt;'111'!$N$11),"x","")</f>
        <v/>
      </c>
      <c r="Q913" s="55" t="str">
        <f>IF(AND($M913=$O$7,$B913&lt;'111'!$N$11),"x","")</f>
        <v/>
      </c>
      <c r="R913" s="55" t="str">
        <f>IF(ISERROR(FIND('112'!$M$9,G913,1)),"",IF((AND(FIND('112'!$M$9,G913,1)&gt;=1,$B913&gt;='112'!$N$8,$B913&lt;='112'!$O$8,OR($L913='112'!$I$6,$M913='112'!$I$6))),"x",""))</f>
        <v/>
      </c>
      <c r="S913" s="55" t="str">
        <f>IF(ISERROR(FIND('112'!$M$9,G913,1)),"",IF((AND(LEFT(G913,2)=LEFT('112'!$M$9,2),B913&lt;'112'!$N$8,$L913='112'!$I$6)),"x",""))</f>
        <v/>
      </c>
      <c r="T913" s="55" t="str">
        <f>IF(ISERROR(FIND('112'!$M$9,G913,1)),"",IF((AND(RIGHT(G913,2)=RIGHT('112'!$M$9,2),B913&lt;'112'!$N$8,$M913='112'!$I$6)),"x",""))</f>
        <v/>
      </c>
      <c r="U913" s="55" t="str">
        <f>IF(AND('3411-CT'!$F$9=H913,OR(LEFT(L913,3)=$U$7,LEFT(M913,3)=$U$7)),"x","")</f>
        <v/>
      </c>
      <c r="V913" s="55" t="str">
        <f>IF(OR(TH!L913=TH!$V$7,M913=TH!$V$7),"x","")</f>
        <v/>
      </c>
      <c r="W913" s="55" t="str">
        <f>IF(AND(OR(L913="131",M913="131"),H913='131-CT'!$E$7),"x","")</f>
        <v/>
      </c>
      <c r="X913" s="55" t="str">
        <f>IF(AND(B913&gt;='IN-NX'!$P$3,B913&lt;='IN-NX'!$Q$3,'IN-NX'!$D$7=D913,OR(LEFT(TH!L913,2)="15",LEFT(TH!M913,2)="15")),"x","")</f>
        <v/>
      </c>
      <c r="Y913" s="55" t="str">
        <f>IF(AND(OR(LEFT(TH!L913,2)="15",LEFT(TH!M913,2)="15"),'152-CT'!$J$8=TH!F913),"x","")</f>
        <v/>
      </c>
      <c r="Z913" s="55" t="str">
        <f>IF(AND(OR(LEFT(TH!L913,2)="15",LEFT(TH!M913,2)="15"),TK!$E$7=TH!F913),"x","")</f>
        <v/>
      </c>
      <c r="AA913" s="55" t="str">
        <f>IF(AND(B913&lt;=NKC!$N$8,B913&gt;=NKC!$M$8),"x","")</f>
        <v/>
      </c>
      <c r="AC913" s="226" t="str">
        <f>IF(ISNA(VLOOKUP(F913,NXT!$C$18:$C$347,1,0)),x,"")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39"/>
        <v>12</v>
      </c>
      <c r="C914" s="37">
        <v>41251</v>
      </c>
      <c r="D914" s="205" t="s">
        <v>518</v>
      </c>
      <c r="E914" s="205">
        <v>41251</v>
      </c>
      <c r="F914" s="206" t="s">
        <v>482</v>
      </c>
      <c r="G914" s="206" t="s">
        <v>1085</v>
      </c>
      <c r="H914" s="207" t="s">
        <v>481</v>
      </c>
      <c r="I914" s="277"/>
      <c r="J914" s="277"/>
      <c r="K914" s="38">
        <v>1813698</v>
      </c>
      <c r="L914" s="208" t="s">
        <v>9</v>
      </c>
      <c r="M914" s="699" t="s">
        <v>8</v>
      </c>
      <c r="N914" s="55" t="str">
        <f>IF(AND('331-CT'!$E$7=TH!H914,OR(L914="331",M914="331")),"x","")</f>
        <v/>
      </c>
      <c r="O914" s="55" t="str">
        <f>IF(AND($B914&gt;='111'!$N$11,$B914&lt;='111'!$O$11,OR($L914=$O$7,$M914=$O$7)),"x","")</f>
        <v/>
      </c>
      <c r="P914" s="55" t="str">
        <f>IF(AND($L914=$O$7,$B914&lt;'111'!$N$11),"x","")</f>
        <v/>
      </c>
      <c r="Q914" s="55" t="str">
        <f>IF(AND($M914=$O$7,$B914&lt;'111'!$N$11),"x","")</f>
        <v/>
      </c>
      <c r="R914" s="55" t="str">
        <f>IF(ISERROR(FIND('112'!$M$9,G914,1)),"",IF((AND(FIND('112'!$M$9,G914,1)&gt;=1,$B914&gt;='112'!$N$8,$B914&lt;='112'!$O$8,OR($L914='112'!$I$6,$M914='112'!$I$6))),"x",""))</f>
        <v/>
      </c>
      <c r="S914" s="55" t="str">
        <f>IF(ISERROR(FIND('112'!$M$9,G914,1)),"",IF((AND(LEFT(G914,2)=LEFT('112'!$M$9,2),B914&lt;'112'!$N$8,$L914='112'!$I$6)),"x",""))</f>
        <v/>
      </c>
      <c r="T914" s="55" t="str">
        <f>IF(ISERROR(FIND('112'!$M$9,G914,1)),"",IF((AND(RIGHT(G914,2)=RIGHT('112'!$M$9,2),B914&lt;'112'!$N$8,$M914='112'!$I$6)),"x",""))</f>
        <v/>
      </c>
      <c r="U914" s="55" t="str">
        <f>IF(AND('3411-CT'!$F$9=H914,OR(LEFT(L914,3)=$U$7,LEFT(M914,3)=$U$7)),"x","")</f>
        <v/>
      </c>
      <c r="V914" s="55" t="str">
        <f>IF(OR(TH!L914=TH!$V$7,M914=TH!$V$7),"x","")</f>
        <v/>
      </c>
      <c r="W914" s="55" t="str">
        <f>IF(AND(OR(L914="131",M914="131"),H914='131-CT'!$E$7),"x","")</f>
        <v/>
      </c>
      <c r="X914" s="55" t="str">
        <f>IF(AND(B914&gt;='IN-NX'!$P$3,B914&lt;='IN-NX'!$Q$3,'IN-NX'!$D$7=D914,OR(LEFT(TH!L914,2)="15",LEFT(TH!M914,2)="15")),"x","")</f>
        <v/>
      </c>
      <c r="Y914" s="55" t="str">
        <f>IF(AND(OR(LEFT(TH!L914,2)="15",LEFT(TH!M914,2)="15"),'152-CT'!$J$8=TH!F914),"x","")</f>
        <v/>
      </c>
      <c r="Z914" s="55" t="str">
        <f>IF(AND(OR(LEFT(TH!L914,2)="15",LEFT(TH!M914,2)="15"),TK!$E$7=TH!F914),"x","")</f>
        <v/>
      </c>
      <c r="AA914" s="55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39"/>
        <v>12</v>
      </c>
      <c r="C915" s="37">
        <v>41253</v>
      </c>
      <c r="D915" s="205" t="s">
        <v>519</v>
      </c>
      <c r="E915" s="37">
        <v>41253</v>
      </c>
      <c r="F915" s="40" t="s">
        <v>1087</v>
      </c>
      <c r="G915" s="580" t="s">
        <v>1088</v>
      </c>
      <c r="H915" s="225" t="s">
        <v>481</v>
      </c>
      <c r="I915" s="278">
        <v>350</v>
      </c>
      <c r="J915" s="278">
        <v>28350</v>
      </c>
      <c r="K915" s="38">
        <v>9922500</v>
      </c>
      <c r="L915" s="208" t="s">
        <v>186</v>
      </c>
      <c r="M915" s="699" t="s">
        <v>8</v>
      </c>
      <c r="N915" s="55" t="str">
        <f>IF(AND('331-CT'!$E$7=TH!H915,OR(L915="331",M915="331")),"x","")</f>
        <v/>
      </c>
      <c r="O915" s="55" t="str">
        <f>IF(AND($B915&gt;='111'!$N$11,$B915&lt;='111'!$O$11,OR($L915=$O$7,$M915=$O$7)),"x","")</f>
        <v/>
      </c>
      <c r="P915" s="55" t="str">
        <f>IF(AND($L915=$O$7,$B915&lt;'111'!$N$11),"x","")</f>
        <v/>
      </c>
      <c r="Q915" s="55" t="str">
        <f>IF(AND($M915=$O$7,$B915&lt;'111'!$N$11),"x","")</f>
        <v/>
      </c>
      <c r="R915" s="55" t="str">
        <f>IF(ISERROR(FIND('112'!$M$9,G915,1)),"",IF((AND(FIND('112'!$M$9,G915,1)&gt;=1,$B915&gt;='112'!$N$8,$B915&lt;='112'!$O$8,OR($L915='112'!$I$6,$M915='112'!$I$6))),"x",""))</f>
        <v/>
      </c>
      <c r="S915" s="55" t="str">
        <f>IF(ISERROR(FIND('112'!$M$9,G915,1)),"",IF((AND(LEFT(G915,2)=LEFT('112'!$M$9,2),B915&lt;'112'!$N$8,$L915='112'!$I$6)),"x",""))</f>
        <v/>
      </c>
      <c r="T915" s="55" t="str">
        <f>IF(ISERROR(FIND('112'!$M$9,G915,1)),"",IF((AND(RIGHT(G915,2)=RIGHT('112'!$M$9,2),B915&lt;'112'!$N$8,$M915='112'!$I$6)),"x",""))</f>
        <v/>
      </c>
      <c r="U915" s="55" t="str">
        <f>IF(AND('3411-CT'!$F$9=H915,OR(LEFT(L915,3)=$U$7,LEFT(M915,3)=$U$7)),"x","")</f>
        <v/>
      </c>
      <c r="V915" s="55" t="str">
        <f>IF(OR(TH!L915=TH!$V$7,M915=TH!$V$7),"x","")</f>
        <v/>
      </c>
      <c r="W915" s="55" t="str">
        <f>IF(AND(OR(L915="131",M915="131"),H915='131-CT'!$E$7),"x","")</f>
        <v/>
      </c>
      <c r="X915" s="55" t="str">
        <f>IF(AND(B915&gt;='IN-NX'!$P$3,B915&lt;='IN-NX'!$Q$3,'IN-NX'!$D$7=D915,OR(LEFT(TH!L915,2)="15",LEFT(TH!M915,2)="15")),"x","")</f>
        <v/>
      </c>
      <c r="Y915" s="55" t="str">
        <f>IF(AND(OR(LEFT(TH!L915,2)="15",LEFT(TH!M915,2)="15"),'152-CT'!$J$8=TH!F915),"x","")</f>
        <v/>
      </c>
      <c r="Z915" s="55" t="str">
        <f>IF(AND(OR(LEFT(TH!L915,2)="15",LEFT(TH!M915,2)="15"),TK!$E$7=TH!F915),"x","")</f>
        <v/>
      </c>
      <c r="AA915" s="55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39"/>
        <v>12</v>
      </c>
      <c r="C916" s="37">
        <v>41253</v>
      </c>
      <c r="D916" s="205" t="s">
        <v>519</v>
      </c>
      <c r="E916" s="37">
        <v>41253</v>
      </c>
      <c r="F916" s="40" t="s">
        <v>1089</v>
      </c>
      <c r="G916" s="580" t="s">
        <v>1088</v>
      </c>
      <c r="H916" s="225" t="s">
        <v>481</v>
      </c>
      <c r="I916" s="278">
        <v>310</v>
      </c>
      <c r="J916" s="278">
        <v>20815</v>
      </c>
      <c r="K916" s="38">
        <v>6452650</v>
      </c>
      <c r="L916" s="208" t="s">
        <v>186</v>
      </c>
      <c r="M916" s="699" t="s">
        <v>8</v>
      </c>
      <c r="N916" s="55" t="str">
        <f>IF(AND('331-CT'!$E$7=TH!H916,OR(L916="331",M916="331")),"x","")</f>
        <v/>
      </c>
      <c r="O916" s="55" t="str">
        <f>IF(AND($B916&gt;='111'!$N$11,$B916&lt;='111'!$O$11,OR($L916=$O$7,$M916=$O$7)),"x","")</f>
        <v/>
      </c>
      <c r="P916" s="55" t="str">
        <f>IF(AND($L916=$O$7,$B916&lt;'111'!$N$11),"x","")</f>
        <v/>
      </c>
      <c r="Q916" s="55" t="str">
        <f>IF(AND($M916=$O$7,$B916&lt;'111'!$N$11),"x","")</f>
        <v/>
      </c>
      <c r="R916" s="55" t="str">
        <f>IF(ISERROR(FIND('112'!$M$9,G916,1)),"",IF((AND(FIND('112'!$M$9,G916,1)&gt;=1,$B916&gt;='112'!$N$8,$B916&lt;='112'!$O$8,OR($L916='112'!$I$6,$M916='112'!$I$6))),"x",""))</f>
        <v/>
      </c>
      <c r="S916" s="55" t="str">
        <f>IF(ISERROR(FIND('112'!$M$9,G916,1)),"",IF((AND(LEFT(G916,2)=LEFT('112'!$M$9,2),B916&lt;'112'!$N$8,$L916='112'!$I$6)),"x",""))</f>
        <v/>
      </c>
      <c r="T916" s="55" t="str">
        <f>IF(ISERROR(FIND('112'!$M$9,G916,1)),"",IF((AND(RIGHT(G916,2)=RIGHT('112'!$M$9,2),B916&lt;'112'!$N$8,$M916='112'!$I$6)),"x",""))</f>
        <v/>
      </c>
      <c r="U916" s="55" t="str">
        <f>IF(AND('3411-CT'!$F$9=H916,OR(LEFT(L916,3)=$U$7,LEFT(M916,3)=$U$7)),"x","")</f>
        <v/>
      </c>
      <c r="V916" s="55" t="str">
        <f>IF(OR(TH!L916=TH!$V$7,M916=TH!$V$7),"x","")</f>
        <v/>
      </c>
      <c r="W916" s="55" t="str">
        <f>IF(AND(OR(L916="131",M916="131"),H916='131-CT'!$E$7),"x","")</f>
        <v/>
      </c>
      <c r="X916" s="55" t="str">
        <f>IF(AND(B916&gt;='IN-NX'!$P$3,B916&lt;='IN-NX'!$Q$3,'IN-NX'!$D$7=D916,OR(LEFT(TH!L916,2)="15",LEFT(TH!M916,2)="15")),"x","")</f>
        <v/>
      </c>
      <c r="Y916" s="55" t="str">
        <f>IF(AND(OR(LEFT(TH!L916,2)="15",LEFT(TH!M916,2)="15"),'152-CT'!$J$8=TH!F916),"x","")</f>
        <v/>
      </c>
      <c r="Z916" s="55" t="str">
        <f>IF(AND(OR(LEFT(TH!L916,2)="15",LEFT(TH!M916,2)="15"),TK!$E$7=TH!F916),"x","")</f>
        <v/>
      </c>
      <c r="AA916" s="55" t="str">
        <f>IF(AND(B916&lt;=NKC!$N$8,B916&gt;=NKC!$M$8),"x","")</f>
        <v/>
      </c>
      <c r="AC916" s="226" t="str">
        <f>IF(ISNA(VLOOKUP(F916,NXT!$C$18:$C$347,1,0)),x,"")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39"/>
        <v>12</v>
      </c>
      <c r="C917" s="37">
        <v>41253</v>
      </c>
      <c r="D917" s="205" t="s">
        <v>519</v>
      </c>
      <c r="E917" s="205">
        <v>41253</v>
      </c>
      <c r="F917" s="206" t="s">
        <v>1090</v>
      </c>
      <c r="G917" s="206" t="s">
        <v>1088</v>
      </c>
      <c r="H917" s="207" t="s">
        <v>481</v>
      </c>
      <c r="I917" s="277">
        <v>150</v>
      </c>
      <c r="J917" s="277">
        <v>11780</v>
      </c>
      <c r="K917" s="38">
        <v>1767000</v>
      </c>
      <c r="L917" s="208" t="s">
        <v>186</v>
      </c>
      <c r="M917" s="699" t="s">
        <v>8</v>
      </c>
      <c r="N917" s="55" t="str">
        <f>IF(AND('331-CT'!$E$7=TH!H917,OR(L917="331",M917="331")),"x","")</f>
        <v/>
      </c>
      <c r="O917" s="55" t="str">
        <f>IF(AND($B917&gt;='111'!$N$11,$B917&lt;='111'!$O$11,OR($L917=$O$7,$M917=$O$7)),"x","")</f>
        <v/>
      </c>
      <c r="P917" s="55" t="str">
        <f>IF(AND($L917=$O$7,$B917&lt;'111'!$N$11),"x","")</f>
        <v/>
      </c>
      <c r="Q917" s="55" t="str">
        <f>IF(AND($M917=$O$7,$B917&lt;'111'!$N$11),"x","")</f>
        <v/>
      </c>
      <c r="R917" s="55" t="str">
        <f>IF(ISERROR(FIND('112'!$M$9,G917,1)),"",IF((AND(FIND('112'!$M$9,G917,1)&gt;=1,$B917&gt;='112'!$N$8,$B917&lt;='112'!$O$8,OR($L917='112'!$I$6,$M917='112'!$I$6))),"x",""))</f>
        <v/>
      </c>
      <c r="S917" s="55" t="str">
        <f>IF(ISERROR(FIND('112'!$M$9,G917,1)),"",IF((AND(LEFT(G917,2)=LEFT('112'!$M$9,2),B917&lt;'112'!$N$8,$L917='112'!$I$6)),"x",""))</f>
        <v/>
      </c>
      <c r="T917" s="55" t="str">
        <f>IF(ISERROR(FIND('112'!$M$9,G917,1)),"",IF((AND(RIGHT(G917,2)=RIGHT('112'!$M$9,2),B917&lt;'112'!$N$8,$M917='112'!$I$6)),"x",""))</f>
        <v/>
      </c>
      <c r="U917" s="55" t="str">
        <f>IF(AND('3411-CT'!$F$9=H917,OR(LEFT(L917,3)=$U$7,LEFT(M917,3)=$U$7)),"x","")</f>
        <v/>
      </c>
      <c r="V917" s="55" t="str">
        <f>IF(OR(TH!L917=TH!$V$7,M917=TH!$V$7),"x","")</f>
        <v/>
      </c>
      <c r="W917" s="55" t="str">
        <f>IF(AND(OR(L917="131",M917="131"),H917='131-CT'!$E$7),"x","")</f>
        <v/>
      </c>
      <c r="X917" s="55" t="str">
        <f>IF(AND(B917&gt;='IN-NX'!$P$3,B917&lt;='IN-NX'!$Q$3,'IN-NX'!$D$7=D917,OR(LEFT(TH!L917,2)="15",LEFT(TH!M917,2)="15")),"x","")</f>
        <v/>
      </c>
      <c r="Y917" s="55" t="str">
        <f>IF(AND(OR(LEFT(TH!L917,2)="15",LEFT(TH!M917,2)="15"),'152-CT'!$J$8=TH!F917),"x","")</f>
        <v/>
      </c>
      <c r="Z917" s="55" t="str">
        <f>IF(AND(OR(LEFT(TH!L917,2)="15",LEFT(TH!M917,2)="15"),TK!$E$7=TH!F917),"x","")</f>
        <v/>
      </c>
      <c r="AA917" s="55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39"/>
        <v>12</v>
      </c>
      <c r="C918" s="37">
        <v>41253</v>
      </c>
      <c r="D918" s="205" t="s">
        <v>519</v>
      </c>
      <c r="E918" s="205">
        <v>41253</v>
      </c>
      <c r="F918" s="206" t="s">
        <v>482</v>
      </c>
      <c r="G918" s="206" t="s">
        <v>1088</v>
      </c>
      <c r="H918" s="207" t="s">
        <v>481</v>
      </c>
      <c r="I918" s="277"/>
      <c r="J918" s="277"/>
      <c r="K918" s="38">
        <v>1814215</v>
      </c>
      <c r="L918" s="208" t="s">
        <v>9</v>
      </c>
      <c r="M918" s="699" t="s">
        <v>8</v>
      </c>
      <c r="N918" s="55" t="str">
        <f>IF(AND('331-CT'!$E$7=TH!H918,OR(L918="331",M918="331")),"x","")</f>
        <v/>
      </c>
      <c r="O918" s="55" t="str">
        <f>IF(AND($B918&gt;='111'!$N$11,$B918&lt;='111'!$O$11,OR($L918=$O$7,$M918=$O$7)),"x","")</f>
        <v/>
      </c>
      <c r="P918" s="55" t="str">
        <f>IF(AND($L918=$O$7,$B918&lt;'111'!$N$11),"x","")</f>
        <v/>
      </c>
      <c r="Q918" s="55" t="str">
        <f>IF(AND($M918=$O$7,$B918&lt;'111'!$N$11),"x","")</f>
        <v/>
      </c>
      <c r="R918" s="55" t="str">
        <f>IF(ISERROR(FIND('112'!$M$9,G918,1)),"",IF((AND(FIND('112'!$M$9,G918,1)&gt;=1,$B918&gt;='112'!$N$8,$B918&lt;='112'!$O$8,OR($L918='112'!$I$6,$M918='112'!$I$6))),"x",""))</f>
        <v/>
      </c>
      <c r="S918" s="55" t="str">
        <f>IF(ISERROR(FIND('112'!$M$9,G918,1)),"",IF((AND(LEFT(G918,2)=LEFT('112'!$M$9,2),B918&lt;'112'!$N$8,$L918='112'!$I$6)),"x",""))</f>
        <v/>
      </c>
      <c r="T918" s="55" t="str">
        <f>IF(ISERROR(FIND('112'!$M$9,G918,1)),"",IF((AND(RIGHT(G918,2)=RIGHT('112'!$M$9,2),B918&lt;'112'!$N$8,$M918='112'!$I$6)),"x",""))</f>
        <v/>
      </c>
      <c r="U918" s="55" t="str">
        <f>IF(AND('3411-CT'!$F$9=H918,OR(LEFT(L918,3)=$U$7,LEFT(M918,3)=$U$7)),"x","")</f>
        <v/>
      </c>
      <c r="V918" s="55" t="str">
        <f>IF(OR(TH!L918=TH!$V$7,M918=TH!$V$7),"x","")</f>
        <v/>
      </c>
      <c r="W918" s="55" t="str">
        <f>IF(AND(OR(L918="131",M918="131"),H918='131-CT'!$E$7),"x","")</f>
        <v/>
      </c>
      <c r="X918" s="55" t="str">
        <f>IF(AND(B918&gt;='IN-NX'!$P$3,B918&lt;='IN-NX'!$Q$3,'IN-NX'!$D$7=D918,OR(LEFT(TH!L918,2)="15",LEFT(TH!M918,2)="15")),"x","")</f>
        <v/>
      </c>
      <c r="Y918" s="55" t="str">
        <f>IF(AND(OR(LEFT(TH!L918,2)="15",LEFT(TH!M918,2)="15"),'152-CT'!$J$8=TH!F918),"x","")</f>
        <v/>
      </c>
      <c r="Z918" s="55" t="str">
        <f>IF(AND(OR(LEFT(TH!L918,2)="15",LEFT(TH!M918,2)="15"),TK!$E$7=TH!F918),"x","")</f>
        <v/>
      </c>
      <c r="AA918" s="55" t="str">
        <f>IF(AND(B918&lt;=NKC!$N$8,B918&gt;=NKC!$M$8),"x","")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39"/>
        <v>12</v>
      </c>
      <c r="C919" s="37">
        <v>41254</v>
      </c>
      <c r="D919" s="205" t="s">
        <v>520</v>
      </c>
      <c r="E919" s="205">
        <v>41254</v>
      </c>
      <c r="F919" s="206" t="s">
        <v>1089</v>
      </c>
      <c r="G919" s="206" t="s">
        <v>1091</v>
      </c>
      <c r="H919" s="207" t="s">
        <v>481</v>
      </c>
      <c r="I919" s="277">
        <v>450</v>
      </c>
      <c r="J919" s="277">
        <v>20815</v>
      </c>
      <c r="K919" s="38">
        <v>9366750</v>
      </c>
      <c r="L919" s="208" t="s">
        <v>186</v>
      </c>
      <c r="M919" s="699" t="s">
        <v>8</v>
      </c>
      <c r="N919" s="55" t="str">
        <f>IF(AND('331-CT'!$E$7=TH!H919,OR(L919="331",M919="331")),"x","")</f>
        <v/>
      </c>
      <c r="O919" s="55" t="str">
        <f>IF(AND($B919&gt;='111'!$N$11,$B919&lt;='111'!$O$11,OR($L919=$O$7,$M919=$O$7)),"x","")</f>
        <v/>
      </c>
      <c r="P919" s="55" t="str">
        <f>IF(AND($L919=$O$7,$B919&lt;'111'!$N$11),"x","")</f>
        <v/>
      </c>
      <c r="Q919" s="55" t="str">
        <f>IF(AND($M919=$O$7,$B919&lt;'111'!$N$11),"x","")</f>
        <v/>
      </c>
      <c r="R919" s="55" t="str">
        <f>IF(ISERROR(FIND('112'!$M$9,G919,1)),"",IF((AND(FIND('112'!$M$9,G919,1)&gt;=1,$B919&gt;='112'!$N$8,$B919&lt;='112'!$O$8,OR($L919='112'!$I$6,$M919='112'!$I$6))),"x",""))</f>
        <v/>
      </c>
      <c r="S919" s="55" t="str">
        <f>IF(ISERROR(FIND('112'!$M$9,G919,1)),"",IF((AND(LEFT(G919,2)=LEFT('112'!$M$9,2),B919&lt;'112'!$N$8,$L919='112'!$I$6)),"x",""))</f>
        <v/>
      </c>
      <c r="T919" s="55" t="str">
        <f>IF(ISERROR(FIND('112'!$M$9,G919,1)),"",IF((AND(RIGHT(G919,2)=RIGHT('112'!$M$9,2),B919&lt;'112'!$N$8,$M919='112'!$I$6)),"x",""))</f>
        <v/>
      </c>
      <c r="U919" s="55" t="str">
        <f>IF(AND('3411-CT'!$F$9=H919,OR(LEFT(L919,3)=$U$7,LEFT(M919,3)=$U$7)),"x","")</f>
        <v/>
      </c>
      <c r="V919" s="55" t="str">
        <f>IF(OR(TH!L919=TH!$V$7,M919=TH!$V$7),"x","")</f>
        <v/>
      </c>
      <c r="W919" s="55" t="str">
        <f>IF(AND(OR(L919="131",M919="131"),H919='131-CT'!$E$7),"x","")</f>
        <v/>
      </c>
      <c r="X919" s="55" t="str">
        <f>IF(AND(B919&gt;='IN-NX'!$P$3,B919&lt;='IN-NX'!$Q$3,'IN-NX'!$D$7=D919,OR(LEFT(TH!L919,2)="15",LEFT(TH!M919,2)="15")),"x","")</f>
        <v/>
      </c>
      <c r="Y919" s="55" t="str">
        <f>IF(AND(OR(LEFT(TH!L919,2)="15",LEFT(TH!M919,2)="15"),'152-CT'!$J$8=TH!F919),"x","")</f>
        <v/>
      </c>
      <c r="Z919" s="55" t="str">
        <f>IF(AND(OR(LEFT(TH!L919,2)="15",LEFT(TH!M919,2)="15"),TK!$E$7=TH!F919),"x","")</f>
        <v/>
      </c>
      <c r="AA919" s="55" t="str">
        <f>IF(AND(B919&lt;=NKC!$N$8,B919&gt;=NKC!$M$8),"x","")</f>
        <v/>
      </c>
      <c r="AC919" s="226" t="str">
        <f>IF(ISNA(VLOOKUP(F919,NXT!$C$18:$C$347,1,0)),x,"")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>
        <f t="shared" si="39"/>
        <v>12</v>
      </c>
      <c r="C920" s="37">
        <v>41254</v>
      </c>
      <c r="D920" s="205" t="s">
        <v>520</v>
      </c>
      <c r="E920" s="205">
        <v>41254</v>
      </c>
      <c r="F920" s="206" t="s">
        <v>1092</v>
      </c>
      <c r="G920" s="206" t="s">
        <v>1091</v>
      </c>
      <c r="H920" s="207" t="s">
        <v>481</v>
      </c>
      <c r="I920" s="277">
        <v>202</v>
      </c>
      <c r="J920" s="277">
        <v>20992</v>
      </c>
      <c r="K920" s="38">
        <v>4240384</v>
      </c>
      <c r="L920" s="208" t="s">
        <v>186</v>
      </c>
      <c r="M920" s="699" t="s">
        <v>8</v>
      </c>
      <c r="N920" s="55" t="str">
        <f>IF(AND('331-CT'!$E$7=TH!H920,OR(L920="331",M920="331")),"x","")</f>
        <v/>
      </c>
      <c r="O920" s="55" t="str">
        <f>IF(AND($B920&gt;='111'!$N$11,$B920&lt;='111'!$O$11,OR($L920=$O$7,$M920=$O$7)),"x","")</f>
        <v/>
      </c>
      <c r="P920" s="55" t="str">
        <f>IF(AND($L920=$O$7,$B920&lt;'111'!$N$11),"x","")</f>
        <v/>
      </c>
      <c r="Q920" s="55" t="str">
        <f>IF(AND($M920=$O$7,$B920&lt;'111'!$N$11),"x","")</f>
        <v/>
      </c>
      <c r="R920" s="55" t="str">
        <f>IF(ISERROR(FIND('112'!$M$9,G920,1)),"",IF((AND(FIND('112'!$M$9,G920,1)&gt;=1,$B920&gt;='112'!$N$8,$B920&lt;='112'!$O$8,OR($L920='112'!$I$6,$M920='112'!$I$6))),"x",""))</f>
        <v/>
      </c>
      <c r="S920" s="55" t="str">
        <f>IF(ISERROR(FIND('112'!$M$9,G920,1)),"",IF((AND(LEFT(G920,2)=LEFT('112'!$M$9,2),B920&lt;'112'!$N$8,$L920='112'!$I$6)),"x",""))</f>
        <v/>
      </c>
      <c r="T920" s="55" t="str">
        <f>IF(ISERROR(FIND('112'!$M$9,G920,1)),"",IF((AND(RIGHT(G920,2)=RIGHT('112'!$M$9,2),B920&lt;'112'!$N$8,$M920='112'!$I$6)),"x",""))</f>
        <v/>
      </c>
      <c r="U920" s="55" t="str">
        <f>IF(AND('3411-CT'!$F$9=H920,OR(LEFT(L920,3)=$U$7,LEFT(M920,3)=$U$7)),"x","")</f>
        <v/>
      </c>
      <c r="V920" s="55" t="str">
        <f>IF(OR(TH!L920=TH!$V$7,M920=TH!$V$7),"x","")</f>
        <v/>
      </c>
      <c r="W920" s="55" t="str">
        <f>IF(AND(OR(L920="131",M920="131"),H920='131-CT'!$E$7),"x","")</f>
        <v/>
      </c>
      <c r="X920" s="55" t="str">
        <f>IF(AND(B920&gt;='IN-NX'!$P$3,B920&lt;='IN-NX'!$Q$3,'IN-NX'!$D$7=D920,OR(LEFT(TH!L920,2)="15",LEFT(TH!M920,2)="15")),"x","")</f>
        <v/>
      </c>
      <c r="Y920" s="55" t="str">
        <f>IF(AND(OR(LEFT(TH!L920,2)="15",LEFT(TH!M920,2)="15"),'152-CT'!$J$8=TH!F920),"x","")</f>
        <v/>
      </c>
      <c r="Z920" s="55" t="str">
        <f>IF(AND(OR(LEFT(TH!L920,2)="15",LEFT(TH!M920,2)="15"),TK!$E$7=TH!F920),"x","")</f>
        <v/>
      </c>
      <c r="AA920" s="55" t="str">
        <f>IF(AND(B920&lt;=NKC!$N$8,B920&gt;=NKC!$M$8),"x","")</f>
        <v/>
      </c>
      <c r="AC920" s="226" t="str">
        <f>IF(ISNA(VLOOKUP(F920,NXT!$C$18:$C$347,1,0)),x,"")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>
        <f t="shared" si="39"/>
        <v>12</v>
      </c>
      <c r="C921" s="37">
        <v>41254</v>
      </c>
      <c r="D921" s="205" t="s">
        <v>520</v>
      </c>
      <c r="E921" s="205">
        <v>41254</v>
      </c>
      <c r="F921" s="206" t="s">
        <v>1093</v>
      </c>
      <c r="G921" s="206" t="s">
        <v>1091</v>
      </c>
      <c r="H921" s="207" t="s">
        <v>481</v>
      </c>
      <c r="I921" s="277">
        <v>218</v>
      </c>
      <c r="J921" s="277">
        <v>20910</v>
      </c>
      <c r="K921" s="38">
        <v>4558380</v>
      </c>
      <c r="L921" s="208" t="s">
        <v>186</v>
      </c>
      <c r="M921" s="699" t="s">
        <v>8</v>
      </c>
      <c r="N921" s="55" t="str">
        <f>IF(AND('331-CT'!$E$7=TH!H921,OR(L921="331",M921="331")),"x","")</f>
        <v/>
      </c>
      <c r="O921" s="55" t="str">
        <f>IF(AND($B921&gt;='111'!$N$11,$B921&lt;='111'!$O$11,OR($L921=$O$7,$M921=$O$7)),"x","")</f>
        <v/>
      </c>
      <c r="P921" s="55" t="str">
        <f>IF(AND($L921=$O$7,$B921&lt;'111'!$N$11),"x","")</f>
        <v/>
      </c>
      <c r="Q921" s="55" t="str">
        <f>IF(AND($M921=$O$7,$B921&lt;'111'!$N$11),"x","")</f>
        <v/>
      </c>
      <c r="R921" s="55" t="str">
        <f>IF(ISERROR(FIND('112'!$M$9,G921,1)),"",IF((AND(FIND('112'!$M$9,G921,1)&gt;=1,$B921&gt;='112'!$N$8,$B921&lt;='112'!$O$8,OR($L921='112'!$I$6,$M921='112'!$I$6))),"x",""))</f>
        <v/>
      </c>
      <c r="S921" s="55" t="str">
        <f>IF(ISERROR(FIND('112'!$M$9,G921,1)),"",IF((AND(LEFT(G921,2)=LEFT('112'!$M$9,2),B921&lt;'112'!$N$8,$L921='112'!$I$6)),"x",""))</f>
        <v/>
      </c>
      <c r="T921" s="55" t="str">
        <f>IF(ISERROR(FIND('112'!$M$9,G921,1)),"",IF((AND(RIGHT(G921,2)=RIGHT('112'!$M$9,2),B921&lt;'112'!$N$8,$M921='112'!$I$6)),"x",""))</f>
        <v/>
      </c>
      <c r="U921" s="55" t="str">
        <f>IF(AND('3411-CT'!$F$9=H921,OR(LEFT(L921,3)=$U$7,LEFT(M921,3)=$U$7)),"x","")</f>
        <v/>
      </c>
      <c r="V921" s="55" t="str">
        <f>IF(OR(TH!L921=TH!$V$7,M921=TH!$V$7),"x","")</f>
        <v/>
      </c>
      <c r="W921" s="55" t="str">
        <f>IF(AND(OR(L921="131",M921="131"),H921='131-CT'!$E$7),"x","")</f>
        <v/>
      </c>
      <c r="X921" s="55" t="str">
        <f>IF(AND(B921&gt;='IN-NX'!$P$3,B921&lt;='IN-NX'!$Q$3,'IN-NX'!$D$7=D921,OR(LEFT(TH!L921,2)="15",LEFT(TH!M921,2)="15")),"x","")</f>
        <v/>
      </c>
      <c r="Y921" s="55" t="str">
        <f>IF(AND(OR(LEFT(TH!L921,2)="15",LEFT(TH!M921,2)="15"),'152-CT'!$J$8=TH!F921),"x","")</f>
        <v/>
      </c>
      <c r="Z921" s="55" t="str">
        <f>IF(AND(OR(LEFT(TH!L921,2)="15",LEFT(TH!M921,2)="15"),TK!$E$7=TH!F921),"x","")</f>
        <v/>
      </c>
      <c r="AA921" s="55" t="str">
        <f>IF(AND(B921&lt;=NKC!$N$8,B921&gt;=NKC!$M$8),"x","")</f>
        <v/>
      </c>
      <c r="AC921" s="226" t="str">
        <f>IF(ISNA(VLOOKUP(F921,NXT!$C$18:$C$347,1,0)),x,"")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>
        <f t="shared" si="39"/>
        <v>12</v>
      </c>
      <c r="C922" s="37">
        <v>41254</v>
      </c>
      <c r="D922" s="205" t="s">
        <v>520</v>
      </c>
      <c r="E922" s="205">
        <v>41254</v>
      </c>
      <c r="F922" s="206" t="s">
        <v>482</v>
      </c>
      <c r="G922" s="206" t="s">
        <v>1091</v>
      </c>
      <c r="H922" s="207" t="s">
        <v>481</v>
      </c>
      <c r="I922" s="277"/>
      <c r="J922" s="277"/>
      <c r="K922" s="38">
        <v>1816551</v>
      </c>
      <c r="L922" s="208" t="s">
        <v>9</v>
      </c>
      <c r="M922" s="699" t="s">
        <v>8</v>
      </c>
      <c r="N922" s="55" t="str">
        <f>IF(AND('331-CT'!$E$7=TH!H922,OR(L922="331",M922="331")),"x","")</f>
        <v/>
      </c>
      <c r="O922" s="55" t="str">
        <f>IF(AND($B922&gt;='111'!$N$11,$B922&lt;='111'!$O$11,OR($L922=$O$7,$M922=$O$7)),"x","")</f>
        <v/>
      </c>
      <c r="P922" s="55" t="str">
        <f>IF(AND($L922=$O$7,$B922&lt;'111'!$N$11),"x","")</f>
        <v/>
      </c>
      <c r="Q922" s="55" t="str">
        <f>IF(AND($M922=$O$7,$B922&lt;'111'!$N$11),"x","")</f>
        <v/>
      </c>
      <c r="R922" s="55" t="str">
        <f>IF(ISERROR(FIND('112'!$M$9,G922,1)),"",IF((AND(FIND('112'!$M$9,G922,1)&gt;=1,$B922&gt;='112'!$N$8,$B922&lt;='112'!$O$8,OR($L922='112'!$I$6,$M922='112'!$I$6))),"x",""))</f>
        <v/>
      </c>
      <c r="S922" s="55" t="str">
        <f>IF(ISERROR(FIND('112'!$M$9,G922,1)),"",IF((AND(LEFT(G922,2)=LEFT('112'!$M$9,2),B922&lt;'112'!$N$8,$L922='112'!$I$6)),"x",""))</f>
        <v/>
      </c>
      <c r="T922" s="55" t="str">
        <f>IF(ISERROR(FIND('112'!$M$9,G922,1)),"",IF((AND(RIGHT(G922,2)=RIGHT('112'!$M$9,2),B922&lt;'112'!$N$8,$M922='112'!$I$6)),"x",""))</f>
        <v/>
      </c>
      <c r="U922" s="55" t="str">
        <f>IF(AND('3411-CT'!$F$9=H922,OR(LEFT(L922,3)=$U$7,LEFT(M922,3)=$U$7)),"x","")</f>
        <v/>
      </c>
      <c r="V922" s="55" t="str">
        <f>IF(OR(TH!L922=TH!$V$7,M922=TH!$V$7),"x","")</f>
        <v/>
      </c>
      <c r="W922" s="55" t="str">
        <f>IF(AND(OR(L922="131",M922="131"),H922='131-CT'!$E$7),"x","")</f>
        <v/>
      </c>
      <c r="X922" s="55" t="str">
        <f>IF(AND(B922&gt;='IN-NX'!$P$3,B922&lt;='IN-NX'!$Q$3,'IN-NX'!$D$7=D922,OR(LEFT(TH!L922,2)="15",LEFT(TH!M922,2)="15")),"x","")</f>
        <v/>
      </c>
      <c r="Y922" s="55" t="str">
        <f>IF(AND(OR(LEFT(TH!L922,2)="15",LEFT(TH!M922,2)="15"),'152-CT'!$J$8=TH!F922),"x","")</f>
        <v/>
      </c>
      <c r="Z922" s="55" t="str">
        <f>IF(AND(OR(LEFT(TH!L922,2)="15",LEFT(TH!M922,2)="15"),TK!$E$7=TH!F922),"x","")</f>
        <v/>
      </c>
      <c r="AA922" s="55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>C14</v>
      </c>
      <c r="B923" s="36">
        <f t="shared" si="39"/>
        <v>12</v>
      </c>
      <c r="C923" s="37">
        <v>41256</v>
      </c>
      <c r="D923" s="205" t="s">
        <v>494</v>
      </c>
      <c r="E923" s="205">
        <v>41256</v>
      </c>
      <c r="F923" s="206" t="s">
        <v>451</v>
      </c>
      <c r="G923" s="206" t="s">
        <v>401</v>
      </c>
      <c r="H923" s="207" t="s">
        <v>706</v>
      </c>
      <c r="I923" s="277"/>
      <c r="J923" s="277"/>
      <c r="K923" s="38">
        <v>35000000</v>
      </c>
      <c r="L923" s="208" t="s">
        <v>24</v>
      </c>
      <c r="M923" s="208" t="s">
        <v>49</v>
      </c>
      <c r="N923" s="55" t="str">
        <f>IF(AND('331-CT'!$E$7=TH!H923,OR(L923="331",M923="331")),"x","")</f>
        <v/>
      </c>
      <c r="O923" s="55" t="str">
        <f>IF(AND($B923&gt;='111'!$N$11,$B923&lt;='111'!$O$11,OR($L923=$O$7,$M923=$O$7)),"x","")</f>
        <v>x</v>
      </c>
      <c r="P923" s="55" t="str">
        <f>IF(AND($L923=$O$7,$B923&lt;'111'!$N$11),"x","")</f>
        <v/>
      </c>
      <c r="Q923" s="55" t="str">
        <f>IF(AND($M923=$O$7,$B923&lt;'111'!$N$11),"x","")</f>
        <v/>
      </c>
      <c r="R923" s="55" t="str">
        <f>IF(ISERROR(FIND('112'!$M$9,G923,1)),"",IF((AND(FIND('112'!$M$9,G923,1)&gt;=1,$B923&gt;='112'!$N$8,$B923&lt;='112'!$O$8,OR($L923='112'!$I$6,$M923='112'!$I$6))),"x",""))</f>
        <v/>
      </c>
      <c r="S923" s="55" t="str">
        <f>IF(ISERROR(FIND('112'!$M$9,G923,1)),"",IF((AND(LEFT(G923,2)=LEFT('112'!$M$9,2),B923&lt;'112'!$N$8,$L923='112'!$I$6)),"x",""))</f>
        <v/>
      </c>
      <c r="T923" s="55" t="str">
        <f>IF(ISERROR(FIND('112'!$M$9,G923,1)),"",IF((AND(RIGHT(G923,2)=RIGHT('112'!$M$9,2),B923&lt;'112'!$N$8,$M923='112'!$I$6)),"x",""))</f>
        <v/>
      </c>
      <c r="U923" s="55" t="str">
        <f>IF(AND('3411-CT'!$F$9=H923,OR(LEFT(L923,3)=$U$7,LEFT(M923,3)=$U$7)),"x","")</f>
        <v/>
      </c>
      <c r="V923" s="55" t="str">
        <f>IF(OR(TH!L923=TH!$V$7,M923=TH!$V$7),"x","")</f>
        <v/>
      </c>
      <c r="W923" s="55" t="str">
        <f>IF(AND(OR(L923="131",M923="131"),H923='131-CT'!$E$7),"x","")</f>
        <v/>
      </c>
      <c r="X923" s="55" t="str">
        <f>IF(AND(B923&gt;='IN-NX'!$P$3,B923&lt;='IN-NX'!$Q$3,'IN-NX'!$D$7=D923,OR(LEFT(TH!L923,2)="15",LEFT(TH!M923,2)="15")),"x","")</f>
        <v/>
      </c>
      <c r="Y923" s="55" t="str">
        <f>IF(AND(OR(LEFT(TH!L923,2)="15",LEFT(TH!M923,2)="15"),'152-CT'!$J$8=TH!F923),"x","")</f>
        <v/>
      </c>
      <c r="Z923" s="55" t="str">
        <f>IF(AND(OR(LEFT(TH!L923,2)="15",LEFT(TH!M923,2)="15"),TK!$E$7=TH!F923),"x","")</f>
        <v/>
      </c>
      <c r="AA923" s="55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>
        <f t="shared" si="39"/>
        <v>12</v>
      </c>
      <c r="C924" s="37">
        <v>41256</v>
      </c>
      <c r="D924" s="205" t="s">
        <v>405</v>
      </c>
      <c r="E924" s="205">
        <v>41256</v>
      </c>
      <c r="F924" s="206" t="s">
        <v>455</v>
      </c>
      <c r="G924" s="206" t="s">
        <v>401</v>
      </c>
      <c r="H924" s="207"/>
      <c r="I924" s="277"/>
      <c r="J924" s="277"/>
      <c r="K924" s="38">
        <v>45000000</v>
      </c>
      <c r="L924" s="208" t="s">
        <v>8</v>
      </c>
      <c r="M924" s="208" t="s">
        <v>24</v>
      </c>
      <c r="N924" s="55" t="str">
        <f>IF(AND('331-CT'!$E$7=TH!H924,OR(L924="331",M924="331")),"x","")</f>
        <v/>
      </c>
      <c r="O924" s="55" t="str">
        <f>IF(AND($B924&gt;='111'!$N$11,$B924&lt;='111'!$O$11,OR($L924=$O$7,$M924=$O$7)),"x","")</f>
        <v/>
      </c>
      <c r="P924" s="55" t="str">
        <f>IF(AND($L924=$O$7,$B924&lt;'111'!$N$11),"x","")</f>
        <v/>
      </c>
      <c r="Q924" s="55" t="str">
        <f>IF(AND($M924=$O$7,$B924&lt;'111'!$N$11),"x","")</f>
        <v/>
      </c>
      <c r="R924" s="55" t="str">
        <f>IF(ISERROR(FIND('112'!$M$9,G924,1)),"",IF((AND(FIND('112'!$M$9,G924,1)&gt;=1,$B924&gt;='112'!$N$8,$B924&lt;='112'!$O$8,OR($L924='112'!$I$6,$M924='112'!$I$6))),"x",""))</f>
        <v/>
      </c>
      <c r="S924" s="55" t="str">
        <f>IF(ISERROR(FIND('112'!$M$9,G924,1)),"",IF((AND(LEFT(G924,2)=LEFT('112'!$M$9,2),B924&lt;'112'!$N$8,$L924='112'!$I$6)),"x",""))</f>
        <v/>
      </c>
      <c r="T924" s="55" t="str">
        <f>IF(ISERROR(FIND('112'!$M$9,G924,1)),"",IF((AND(RIGHT(G924,2)=RIGHT('112'!$M$9,2),B924&lt;'112'!$N$8,$M924='112'!$I$6)),"x",""))</f>
        <v/>
      </c>
      <c r="U924" s="55" t="str">
        <f>IF(AND('3411-CT'!$F$9=H924,OR(LEFT(L924,3)=$U$7,LEFT(M924,3)=$U$7)),"x","")</f>
        <v/>
      </c>
      <c r="V924" s="55" t="str">
        <f>IF(OR(TH!L924=TH!$V$7,M924=TH!$V$7),"x","")</f>
        <v/>
      </c>
      <c r="W924" s="55" t="str">
        <f>IF(AND(OR(L924="131",M924="131"),H924='131-CT'!$E$7),"x","")</f>
        <v/>
      </c>
      <c r="X924" s="55" t="str">
        <f>IF(AND(B924&gt;='IN-NX'!$P$3,B924&lt;='IN-NX'!$Q$3,'IN-NX'!$D$7=D924,OR(LEFT(TH!L924,2)="15",LEFT(TH!M924,2)="15")),"x","")</f>
        <v/>
      </c>
      <c r="Y924" s="55" t="str">
        <f>IF(AND(OR(LEFT(TH!L924,2)="15",LEFT(TH!M924,2)="15"),'152-CT'!$J$8=TH!F924),"x","")</f>
        <v/>
      </c>
      <c r="Z924" s="55" t="str">
        <f>IF(AND(OR(LEFT(TH!L924,2)="15",LEFT(TH!M924,2)="15"),TK!$E$7=TH!F924),"x","")</f>
        <v/>
      </c>
      <c r="AA924" s="55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>
        <f t="shared" si="39"/>
        <v>12</v>
      </c>
      <c r="C925" s="37">
        <v>41256</v>
      </c>
      <c r="D925" s="205" t="s">
        <v>405</v>
      </c>
      <c r="E925" s="205">
        <v>41256</v>
      </c>
      <c r="F925" s="206" t="s">
        <v>407</v>
      </c>
      <c r="G925" s="206" t="s">
        <v>401</v>
      </c>
      <c r="H925" s="207"/>
      <c r="I925" s="277"/>
      <c r="J925" s="277"/>
      <c r="K925" s="38">
        <v>22500</v>
      </c>
      <c r="L925" s="208" t="s">
        <v>87</v>
      </c>
      <c r="M925" s="208" t="s">
        <v>24</v>
      </c>
      <c r="N925" s="55" t="str">
        <f>IF(AND('331-CT'!$E$7=TH!H925,OR(L925="331",M925="331")),"x","")</f>
        <v/>
      </c>
      <c r="O925" s="55" t="str">
        <f>IF(AND($B925&gt;='111'!$N$11,$B925&lt;='111'!$O$11,OR($L925=$O$7,$M925=$O$7)),"x","")</f>
        <v/>
      </c>
      <c r="P925" s="55" t="str">
        <f>IF(AND($L925=$O$7,$B925&lt;'111'!$N$11),"x","")</f>
        <v/>
      </c>
      <c r="Q925" s="55" t="str">
        <f>IF(AND($M925=$O$7,$B925&lt;'111'!$N$11),"x","")</f>
        <v/>
      </c>
      <c r="R925" s="55" t="str">
        <f>IF(ISERROR(FIND('112'!$M$9,G925,1)),"",IF((AND(FIND('112'!$M$9,G925,1)&gt;=1,$B925&gt;='112'!$N$8,$B925&lt;='112'!$O$8,OR($L925='112'!$I$6,$M925='112'!$I$6))),"x",""))</f>
        <v/>
      </c>
      <c r="S925" s="55" t="str">
        <f>IF(ISERROR(FIND('112'!$M$9,G925,1)),"",IF((AND(LEFT(G925,2)=LEFT('112'!$M$9,2),B925&lt;'112'!$N$8,$L925='112'!$I$6)),"x",""))</f>
        <v/>
      </c>
      <c r="T925" s="55" t="str">
        <f>IF(ISERROR(FIND('112'!$M$9,G925,1)),"",IF((AND(RIGHT(G925,2)=RIGHT('112'!$M$9,2),B925&lt;'112'!$N$8,$M925='112'!$I$6)),"x",""))</f>
        <v/>
      </c>
      <c r="U925" s="55" t="str">
        <f>IF(AND('3411-CT'!$F$9=H925,OR(LEFT(L925,3)=$U$7,LEFT(M925,3)=$U$7)),"x","")</f>
        <v/>
      </c>
      <c r="V925" s="55" t="str">
        <f>IF(OR(TH!L925=TH!$V$7,M925=TH!$V$7),"x","")</f>
        <v/>
      </c>
      <c r="W925" s="55" t="str">
        <f>IF(AND(OR(L925="131",M925="131"),H925='131-CT'!$E$7),"x","")</f>
        <v/>
      </c>
      <c r="X925" s="55" t="str">
        <f>IF(AND(B925&gt;='IN-NX'!$P$3,B925&lt;='IN-NX'!$Q$3,'IN-NX'!$D$7=D925,OR(LEFT(TH!L925,2)="15",LEFT(TH!M925,2)="15")),"x","")</f>
        <v/>
      </c>
      <c r="Y925" s="55" t="str">
        <f>IF(AND(OR(LEFT(TH!L925,2)="15",LEFT(TH!M925,2)="15"),'152-CT'!$J$8=TH!F925),"x","")</f>
        <v/>
      </c>
      <c r="Z925" s="55" t="str">
        <f>IF(AND(OR(LEFT(TH!L925,2)="15",LEFT(TH!M925,2)="15"),TK!$E$7=TH!F925),"x","")</f>
        <v/>
      </c>
      <c r="AA925" s="55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>
        <f t="shared" si="39"/>
        <v>12</v>
      </c>
      <c r="C926" s="37">
        <v>41256</v>
      </c>
      <c r="D926" s="205" t="s">
        <v>405</v>
      </c>
      <c r="E926" s="205">
        <v>41256</v>
      </c>
      <c r="F926" s="206" t="s">
        <v>865</v>
      </c>
      <c r="G926" s="206" t="s">
        <v>401</v>
      </c>
      <c r="H926" s="207"/>
      <c r="I926" s="277"/>
      <c r="J926" s="277"/>
      <c r="K926" s="38">
        <v>10321</v>
      </c>
      <c r="L926" s="208" t="s">
        <v>87</v>
      </c>
      <c r="M926" s="208" t="s">
        <v>24</v>
      </c>
      <c r="N926" s="55" t="str">
        <f>IF(AND('331-CT'!$E$7=TH!H926,OR(L926="331",M926="331")),"x","")</f>
        <v/>
      </c>
      <c r="O926" s="55" t="str">
        <f>IF(AND($B926&gt;='111'!$N$11,$B926&lt;='111'!$O$11,OR($L926=$O$7,$M926=$O$7)),"x","")</f>
        <v/>
      </c>
      <c r="P926" s="55" t="str">
        <f>IF(AND($L926=$O$7,$B926&lt;'111'!$N$11),"x","")</f>
        <v/>
      </c>
      <c r="Q926" s="55" t="str">
        <f>IF(AND($M926=$O$7,$B926&lt;'111'!$N$11),"x","")</f>
        <v/>
      </c>
      <c r="R926" s="55" t="str">
        <f>IF(ISERROR(FIND('112'!$M$9,G926,1)),"",IF((AND(FIND('112'!$M$9,G926,1)&gt;=1,$B926&gt;='112'!$N$8,$B926&lt;='112'!$O$8,OR($L926='112'!$I$6,$M926='112'!$I$6))),"x",""))</f>
        <v/>
      </c>
      <c r="S926" s="55" t="str">
        <f>IF(ISERROR(FIND('112'!$M$9,G926,1)),"",IF((AND(LEFT(G926,2)=LEFT('112'!$M$9,2),B926&lt;'112'!$N$8,$L926='112'!$I$6)),"x",""))</f>
        <v/>
      </c>
      <c r="T926" s="55" t="str">
        <f>IF(ISERROR(FIND('112'!$M$9,G926,1)),"",IF((AND(RIGHT(G926,2)=RIGHT('112'!$M$9,2),B926&lt;'112'!$N$8,$M926='112'!$I$6)),"x",""))</f>
        <v/>
      </c>
      <c r="U926" s="55" t="str">
        <f>IF(AND('3411-CT'!$F$9=H926,OR(LEFT(L926,3)=$U$7,LEFT(M926,3)=$U$7)),"x","")</f>
        <v/>
      </c>
      <c r="V926" s="55" t="str">
        <f>IF(OR(TH!L926=TH!$V$7,M926=TH!$V$7),"x","")</f>
        <v/>
      </c>
      <c r="W926" s="55" t="str">
        <f>IF(AND(OR(L926="131",M926="131"),H926='131-CT'!$E$7),"x","")</f>
        <v/>
      </c>
      <c r="X926" s="55" t="str">
        <f>IF(AND(B926&gt;='IN-NX'!$P$3,B926&lt;='IN-NX'!$Q$3,'IN-NX'!$D$7=D926,OR(LEFT(TH!L926,2)="15",LEFT(TH!M926,2)="15")),"x","")</f>
        <v/>
      </c>
      <c r="Y926" s="55" t="str">
        <f>IF(AND(OR(LEFT(TH!L926,2)="15",LEFT(TH!M926,2)="15"),'152-CT'!$J$8=TH!F926),"x","")</f>
        <v/>
      </c>
      <c r="Z926" s="55" t="str">
        <f>IF(AND(OR(LEFT(TH!L926,2)="15",LEFT(TH!M926,2)="15"),TK!$E$7=TH!F926),"x","")</f>
        <v/>
      </c>
      <c r="AA926" s="55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>C15</v>
      </c>
      <c r="B927" s="36">
        <f t="shared" si="39"/>
        <v>12</v>
      </c>
      <c r="C927" s="37">
        <v>41258</v>
      </c>
      <c r="D927" s="205" t="s">
        <v>495</v>
      </c>
      <c r="E927" s="205">
        <v>41258</v>
      </c>
      <c r="F927" s="206" t="s">
        <v>588</v>
      </c>
      <c r="G927" s="206" t="s">
        <v>1094</v>
      </c>
      <c r="H927" s="207" t="s">
        <v>590</v>
      </c>
      <c r="I927" s="277"/>
      <c r="J927" s="277"/>
      <c r="K927" s="38">
        <v>1866196</v>
      </c>
      <c r="L927" s="208" t="s">
        <v>87</v>
      </c>
      <c r="M927" s="208" t="s">
        <v>49</v>
      </c>
      <c r="N927" s="55" t="str">
        <f>IF(AND('331-CT'!$E$7=TH!H927,OR(L927="331",M927="331")),"x","")</f>
        <v/>
      </c>
      <c r="O927" s="55" t="str">
        <f>IF(AND($B927&gt;='111'!$N$11,$B927&lt;='111'!$O$11,OR($L927=$O$7,$M927=$O$7)),"x","")</f>
        <v>x</v>
      </c>
      <c r="P927" s="55" t="str">
        <f>IF(AND($L927=$O$7,$B927&lt;'111'!$N$11),"x","")</f>
        <v/>
      </c>
      <c r="Q927" s="55" t="str">
        <f>IF(AND($M927=$O$7,$B927&lt;'111'!$N$11),"x","")</f>
        <v/>
      </c>
      <c r="R927" s="55" t="str">
        <f>IF(ISERROR(FIND('112'!$M$9,G927,1)),"",IF((AND(FIND('112'!$M$9,G927,1)&gt;=1,$B927&gt;='112'!$N$8,$B927&lt;='112'!$O$8,OR($L927='112'!$I$6,$M927='112'!$I$6))),"x",""))</f>
        <v/>
      </c>
      <c r="S927" s="55" t="str">
        <f>IF(ISERROR(FIND('112'!$M$9,G927,1)),"",IF((AND(LEFT(G927,2)=LEFT('112'!$M$9,2),B927&lt;'112'!$N$8,$L927='112'!$I$6)),"x",""))</f>
        <v/>
      </c>
      <c r="T927" s="55" t="str">
        <f>IF(ISERROR(FIND('112'!$M$9,G927,1)),"",IF((AND(RIGHT(G927,2)=RIGHT('112'!$M$9,2),B927&lt;'112'!$N$8,$M927='112'!$I$6)),"x",""))</f>
        <v/>
      </c>
      <c r="U927" s="55" t="str">
        <f>IF(AND('3411-CT'!$F$9=H927,OR(LEFT(L927,3)=$U$7,LEFT(M927,3)=$U$7)),"x","")</f>
        <v/>
      </c>
      <c r="V927" s="55" t="str">
        <f>IF(OR(TH!L927=TH!$V$7,M927=TH!$V$7),"x","")</f>
        <v/>
      </c>
      <c r="W927" s="55" t="str">
        <f>IF(AND(OR(L927="131",M927="131"),H927='131-CT'!$E$7),"x","")</f>
        <v/>
      </c>
      <c r="X927" s="55" t="str">
        <f>IF(AND(B927&gt;='IN-NX'!$P$3,B927&lt;='IN-NX'!$Q$3,'IN-NX'!$D$7=D927,OR(LEFT(TH!L927,2)="15",LEFT(TH!M927,2)="15")),"x","")</f>
        <v/>
      </c>
      <c r="Y927" s="55" t="str">
        <f>IF(AND(OR(LEFT(TH!L927,2)="15",LEFT(TH!M927,2)="15"),'152-CT'!$J$8=TH!F927),"x","")</f>
        <v/>
      </c>
      <c r="Z927" s="55" t="str">
        <f>IF(AND(OR(LEFT(TH!L927,2)="15",LEFT(TH!M927,2)="15"),TK!$E$7=TH!F927),"x","")</f>
        <v/>
      </c>
      <c r="AA927" s="55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>C15</v>
      </c>
      <c r="B928" s="36">
        <f t="shared" si="39"/>
        <v>12</v>
      </c>
      <c r="C928" s="37">
        <v>41258</v>
      </c>
      <c r="D928" s="205" t="s">
        <v>495</v>
      </c>
      <c r="E928" s="205">
        <v>41258</v>
      </c>
      <c r="F928" s="206" t="s">
        <v>591</v>
      </c>
      <c r="G928" s="206" t="s">
        <v>1094</v>
      </c>
      <c r="H928" s="207" t="s">
        <v>590</v>
      </c>
      <c r="I928" s="277"/>
      <c r="J928" s="277"/>
      <c r="K928" s="38">
        <v>186619</v>
      </c>
      <c r="L928" s="208" t="s">
        <v>9</v>
      </c>
      <c r="M928" s="208" t="s">
        <v>49</v>
      </c>
      <c r="N928" s="55" t="str">
        <f>IF(AND('331-CT'!$E$7=TH!H928,OR(L928="331",M928="331")),"x","")</f>
        <v/>
      </c>
      <c r="O928" s="55" t="str">
        <f>IF(AND($B928&gt;='111'!$N$11,$B928&lt;='111'!$O$11,OR($L928=$O$7,$M928=$O$7)),"x","")</f>
        <v>x</v>
      </c>
      <c r="P928" s="55" t="str">
        <f>IF(AND($L928=$O$7,$B928&lt;'111'!$N$11),"x","")</f>
        <v/>
      </c>
      <c r="Q928" s="55" t="str">
        <f>IF(AND($M928=$O$7,$B928&lt;'111'!$N$11),"x","")</f>
        <v/>
      </c>
      <c r="R928" s="55" t="str">
        <f>IF(ISERROR(FIND('112'!$M$9,G928,1)),"",IF((AND(FIND('112'!$M$9,G928,1)&gt;=1,$B928&gt;='112'!$N$8,$B928&lt;='112'!$O$8,OR($L928='112'!$I$6,$M928='112'!$I$6))),"x",""))</f>
        <v/>
      </c>
      <c r="S928" s="55" t="str">
        <f>IF(ISERROR(FIND('112'!$M$9,G928,1)),"",IF((AND(LEFT(G928,2)=LEFT('112'!$M$9,2),B928&lt;'112'!$N$8,$L928='112'!$I$6)),"x",""))</f>
        <v/>
      </c>
      <c r="T928" s="55" t="str">
        <f>IF(ISERROR(FIND('112'!$M$9,G928,1)),"",IF((AND(RIGHT(G928,2)=RIGHT('112'!$M$9,2),B928&lt;'112'!$N$8,$M928='112'!$I$6)),"x",""))</f>
        <v/>
      </c>
      <c r="U928" s="55" t="str">
        <f>IF(AND('3411-CT'!$F$9=H928,OR(LEFT(L928,3)=$U$7,LEFT(M928,3)=$U$7)),"x","")</f>
        <v/>
      </c>
      <c r="V928" s="55" t="str">
        <f>IF(OR(TH!L928=TH!$V$7,M928=TH!$V$7),"x","")</f>
        <v/>
      </c>
      <c r="W928" s="55" t="str">
        <f>IF(AND(OR(L928="131",M928="131"),H928='131-CT'!$E$7),"x","")</f>
        <v/>
      </c>
      <c r="X928" s="55" t="str">
        <f>IF(AND(B928&gt;='IN-NX'!$P$3,B928&lt;='IN-NX'!$Q$3,'IN-NX'!$D$7=D928,OR(LEFT(TH!L928,2)="15",LEFT(TH!M928,2)="15")),"x","")</f>
        <v/>
      </c>
      <c r="Y928" s="55" t="str">
        <f>IF(AND(OR(LEFT(TH!L928,2)="15",LEFT(TH!M928,2)="15"),'152-CT'!$J$8=TH!F928),"x","")</f>
        <v/>
      </c>
      <c r="Z928" s="55" t="str">
        <f>IF(AND(OR(LEFT(TH!L928,2)="15",LEFT(TH!M928,2)="15"),TK!$E$7=TH!F928),"x","")</f>
        <v/>
      </c>
      <c r="AA928" s="55" t="str">
        <f>IF(AND(B928&lt;=NKC!$N$8,B928&gt;=NKC!$M$8),"x","")</f>
        <v/>
      </c>
    </row>
    <row r="929" spans="1:30" s="226" customFormat="1" ht="15.75" customHeight="1">
      <c r="A929" s="219" t="str">
        <f>IF(B929&lt;&gt;"",IF(AND(B929&gt;=_TM1,B929&lt;=_TM2,OR(TH!L929="1111",TH!M929="1111")),TH!D929,""),"")</f>
        <v/>
      </c>
      <c r="B929" s="36">
        <f t="shared" si="39"/>
        <v>12</v>
      </c>
      <c r="C929" s="37">
        <v>41267</v>
      </c>
      <c r="D929" s="205" t="s">
        <v>404</v>
      </c>
      <c r="E929" s="205">
        <v>41267</v>
      </c>
      <c r="F929" s="206" t="s">
        <v>406</v>
      </c>
      <c r="G929" s="206" t="s">
        <v>401</v>
      </c>
      <c r="H929" s="7" t="s">
        <v>1131</v>
      </c>
      <c r="I929" s="277"/>
      <c r="J929" s="277"/>
      <c r="K929" s="38">
        <v>15067965</v>
      </c>
      <c r="L929" s="208" t="s">
        <v>24</v>
      </c>
      <c r="M929" s="208" t="s">
        <v>311</v>
      </c>
      <c r="N929" s="55" t="str">
        <f>IF(AND('331-CT'!$E$7=TH!H929,OR(L929="331",M929="331")),"x","")</f>
        <v/>
      </c>
      <c r="O929" s="55" t="str">
        <f>IF(AND($B929&gt;='111'!$N$11,$B929&lt;='111'!$O$11,OR($L929=$O$7,$M929=$O$7)),"x","")</f>
        <v/>
      </c>
      <c r="P929" s="55" t="str">
        <f>IF(AND($L929=$O$7,$B929&lt;'111'!$N$11),"x","")</f>
        <v/>
      </c>
      <c r="Q929" s="55" t="str">
        <f>IF(AND($M929=$O$7,$B929&lt;'111'!$N$11),"x","")</f>
        <v/>
      </c>
      <c r="R929" s="55" t="str">
        <f>IF(ISERROR(FIND('112'!$M$9,G929,1)),"",IF((AND(FIND('112'!$M$9,G929,1)&gt;=1,$B929&gt;='112'!$N$8,$B929&lt;='112'!$O$8,OR($L929='112'!$I$6,$M929='112'!$I$6))),"x",""))</f>
        <v/>
      </c>
      <c r="S929" s="55" t="str">
        <f>IF(ISERROR(FIND('112'!$M$9,G929,1)),"",IF((AND(LEFT(G929,2)=LEFT('112'!$M$9,2),B929&lt;'112'!$N$8,$L929='112'!$I$6)),"x",""))</f>
        <v/>
      </c>
      <c r="T929" s="55" t="str">
        <f>IF(ISERROR(FIND('112'!$M$9,G929,1)),"",IF((AND(RIGHT(G929,2)=RIGHT('112'!$M$9,2),B929&lt;'112'!$N$8,$M929='112'!$I$6)),"x",""))</f>
        <v/>
      </c>
      <c r="U929" s="55" t="str">
        <f>IF(AND('3411-CT'!$F$9=H929,OR(LEFT(L929,3)=$U$7,LEFT(M929,3)=$U$7)),"x","")</f>
        <v/>
      </c>
      <c r="V929" s="55" t="str">
        <f>IF(OR(TH!L929=TH!$V$7,M929=TH!$V$7),"x","")</f>
        <v/>
      </c>
      <c r="W929" s="55" t="str">
        <f>IF(AND(OR(L929="131",M929="131"),H929='131-CT'!$E$7),"x","")</f>
        <v/>
      </c>
      <c r="X929" s="55" t="str">
        <f>IF(AND(B929&gt;='IN-NX'!$P$3,B929&lt;='IN-NX'!$Q$3,'IN-NX'!$D$7=D929,OR(LEFT(TH!L929,2)="15",LEFT(TH!M929,2)="15")),"x","")</f>
        <v/>
      </c>
      <c r="Y929" s="55" t="str">
        <f>IF(AND(OR(LEFT(TH!L929,2)="15",LEFT(TH!M929,2)="15"),'152-CT'!$J$8=TH!F929),"x","")</f>
        <v/>
      </c>
      <c r="Z929" s="55" t="str">
        <f>IF(AND(OR(LEFT(TH!L929,2)="15",LEFT(TH!M929,2)="15"),TK!$E$7=TH!F929),"x","")</f>
        <v/>
      </c>
      <c r="AA929" s="55" t="str">
        <f>IF(AND(B929&lt;=NKC!$N$8,B929&gt;=NKC!$M$8),"x","")</f>
        <v/>
      </c>
      <c r="AD929" s="689"/>
    </row>
    <row r="930" spans="1:30" s="226" customFormat="1" ht="15.75" customHeight="1">
      <c r="A930" s="219" t="str">
        <f>IF(B930&lt;&gt;"",IF(AND(B930&gt;=_TM1,B930&lt;=_TM2,OR(TH!L930="1111",TH!M930="1111")),TH!D930,""),"")</f>
        <v>C16</v>
      </c>
      <c r="B930" s="36">
        <f t="shared" si="39"/>
        <v>12</v>
      </c>
      <c r="C930" s="37">
        <v>41267</v>
      </c>
      <c r="D930" s="205" t="s">
        <v>496</v>
      </c>
      <c r="E930" s="205">
        <v>41267</v>
      </c>
      <c r="F930" s="206" t="s">
        <v>727</v>
      </c>
      <c r="G930" s="206" t="s">
        <v>1095</v>
      </c>
      <c r="H930" s="207" t="s">
        <v>456</v>
      </c>
      <c r="I930" s="277"/>
      <c r="J930" s="277"/>
      <c r="K930" s="38">
        <v>2600000</v>
      </c>
      <c r="L930" s="208" t="s">
        <v>194</v>
      </c>
      <c r="M930" s="208" t="s">
        <v>49</v>
      </c>
      <c r="N930" s="55" t="str">
        <f>IF(AND('331-CT'!$E$7=TH!H930,OR(L930="331",M930="331")),"x","")</f>
        <v/>
      </c>
      <c r="O930" s="55" t="str">
        <f>IF(AND($B930&gt;='111'!$N$11,$B930&lt;='111'!$O$11,OR($L930=$O$7,$M930=$O$7)),"x","")</f>
        <v>x</v>
      </c>
      <c r="P930" s="55" t="str">
        <f>IF(AND($L930=$O$7,$B930&lt;'111'!$N$11),"x","")</f>
        <v/>
      </c>
      <c r="Q930" s="55" t="str">
        <f>IF(AND($M930=$O$7,$B930&lt;'111'!$N$11),"x","")</f>
        <v/>
      </c>
      <c r="R930" s="55" t="str">
        <f>IF(ISERROR(FIND('112'!$M$9,G930,1)),"",IF((AND(FIND('112'!$M$9,G930,1)&gt;=1,$B930&gt;='112'!$N$8,$B930&lt;='112'!$O$8,OR($L930='112'!$I$6,$M930='112'!$I$6))),"x",""))</f>
        <v/>
      </c>
      <c r="S930" s="55" t="str">
        <f>IF(ISERROR(FIND('112'!$M$9,G930,1)),"",IF((AND(LEFT(G930,2)=LEFT('112'!$M$9,2),B930&lt;'112'!$N$8,$L930='112'!$I$6)),"x",""))</f>
        <v/>
      </c>
      <c r="T930" s="55" t="str">
        <f>IF(ISERROR(FIND('112'!$M$9,G930,1)),"",IF((AND(RIGHT(G930,2)=RIGHT('112'!$M$9,2),B930&lt;'112'!$N$8,$M930='112'!$I$6)),"x",""))</f>
        <v/>
      </c>
      <c r="U930" s="55" t="str">
        <f>IF(AND('3411-CT'!$F$9=H930,OR(LEFT(L930,3)=$U$7,LEFT(M930,3)=$U$7)),"x","")</f>
        <v/>
      </c>
      <c r="V930" s="55" t="str">
        <f>IF(OR(TH!L930=TH!$V$7,M930=TH!$V$7),"x","")</f>
        <v/>
      </c>
      <c r="W930" s="55" t="str">
        <f>IF(AND(OR(L930="131",M930="131"),H930='131-CT'!$E$7),"x","")</f>
        <v/>
      </c>
      <c r="X930" s="55" t="str">
        <f>IF(AND(B930&gt;='IN-NX'!$P$3,B930&lt;='IN-NX'!$Q$3,'IN-NX'!$D$7=D930,OR(LEFT(TH!L930,2)="15",LEFT(TH!M930,2)="15")),"x","")</f>
        <v/>
      </c>
      <c r="Y930" s="55" t="str">
        <f>IF(AND(OR(LEFT(TH!L930,2)="15",LEFT(TH!M930,2)="15"),'152-CT'!$J$8=TH!F930),"x","")</f>
        <v/>
      </c>
      <c r="Z930" s="55" t="str">
        <f>IF(AND(OR(LEFT(TH!L930,2)="15",LEFT(TH!M930,2)="15"),TK!$E$7=TH!F930),"x","")</f>
        <v/>
      </c>
      <c r="AA930" s="55" t="str">
        <f>IF(AND(B930&lt;=NKC!$N$8,B930&gt;=NKC!$M$8),"x","")</f>
        <v/>
      </c>
    </row>
    <row r="931" spans="1:30" s="226" customFormat="1" ht="15.75" customHeight="1">
      <c r="A931" s="219" t="str">
        <f>IF(B931&lt;&gt;"",IF(AND(B931&gt;=_TM1,B931&lt;=_TM2,OR(TH!L931="1111",TH!M931="1111")),TH!D931,""),"")</f>
        <v>C16</v>
      </c>
      <c r="B931" s="36">
        <f t="shared" si="39"/>
        <v>12</v>
      </c>
      <c r="C931" s="37">
        <v>41267</v>
      </c>
      <c r="D931" s="205" t="s">
        <v>496</v>
      </c>
      <c r="E931" s="205">
        <v>41267</v>
      </c>
      <c r="F931" s="206" t="s">
        <v>413</v>
      </c>
      <c r="G931" s="206" t="s">
        <v>1095</v>
      </c>
      <c r="H931" s="207" t="s">
        <v>456</v>
      </c>
      <c r="I931" s="277"/>
      <c r="J931" s="277"/>
      <c r="K931" s="38">
        <v>260000</v>
      </c>
      <c r="L931" s="208" t="s">
        <v>9</v>
      </c>
      <c r="M931" s="208" t="s">
        <v>49</v>
      </c>
      <c r="N931" s="55" t="str">
        <f>IF(AND('331-CT'!$E$7=TH!H931,OR(L931="331",M931="331")),"x","")</f>
        <v/>
      </c>
      <c r="O931" s="55" t="str">
        <f>IF(AND($B931&gt;='111'!$N$11,$B931&lt;='111'!$O$11,OR($L931=$O$7,$M931=$O$7)),"x","")</f>
        <v>x</v>
      </c>
      <c r="P931" s="55" t="str">
        <f>IF(AND($L931=$O$7,$B931&lt;'111'!$N$11),"x","")</f>
        <v/>
      </c>
      <c r="Q931" s="55" t="str">
        <f>IF(AND($M931=$O$7,$B931&lt;'111'!$N$11),"x","")</f>
        <v/>
      </c>
      <c r="R931" s="55" t="str">
        <f>IF(ISERROR(FIND('112'!$M$9,G931,1)),"",IF((AND(FIND('112'!$M$9,G931,1)&gt;=1,$B931&gt;='112'!$N$8,$B931&lt;='112'!$O$8,OR($L931='112'!$I$6,$M931='112'!$I$6))),"x",""))</f>
        <v/>
      </c>
      <c r="S931" s="55" t="str">
        <f>IF(ISERROR(FIND('112'!$M$9,G931,1)),"",IF((AND(LEFT(G931,2)=LEFT('112'!$M$9,2),B931&lt;'112'!$N$8,$L931='112'!$I$6)),"x",""))</f>
        <v/>
      </c>
      <c r="T931" s="55" t="str">
        <f>IF(ISERROR(FIND('112'!$M$9,G931,1)),"",IF((AND(RIGHT(G931,2)=RIGHT('112'!$M$9,2),B931&lt;'112'!$N$8,$M931='112'!$I$6)),"x",""))</f>
        <v/>
      </c>
      <c r="U931" s="55" t="str">
        <f>IF(AND('3411-CT'!$F$9=H931,OR(LEFT(L931,3)=$U$7,LEFT(M931,3)=$U$7)),"x","")</f>
        <v/>
      </c>
      <c r="V931" s="55" t="str">
        <f>IF(OR(TH!L931=TH!$V$7,M931=TH!$V$7),"x","")</f>
        <v/>
      </c>
      <c r="W931" s="55" t="str">
        <f>IF(AND(OR(L931="131",M931="131"),H931='131-CT'!$E$7),"x","")</f>
        <v/>
      </c>
      <c r="X931" s="55" t="str">
        <f>IF(AND(B931&gt;='IN-NX'!$P$3,B931&lt;='IN-NX'!$Q$3,'IN-NX'!$D$7=D931,OR(LEFT(TH!L931,2)="15",LEFT(TH!M931,2)="15")),"x","")</f>
        <v/>
      </c>
      <c r="Y931" s="55" t="str">
        <f>IF(AND(OR(LEFT(TH!L931,2)="15",LEFT(TH!M931,2)="15"),'152-CT'!$J$8=TH!F931),"x","")</f>
        <v/>
      </c>
      <c r="Z931" s="55" t="str">
        <f>IF(AND(OR(LEFT(TH!L931,2)="15",LEFT(TH!M931,2)="15"),TK!$E$7=TH!F931),"x","")</f>
        <v/>
      </c>
      <c r="AA931" s="55" t="str">
        <f>IF(AND(B931&lt;=NKC!$N$8,B931&gt;=NKC!$M$8),"x","")</f>
        <v/>
      </c>
    </row>
    <row r="932" spans="1:30" s="226" customFormat="1" ht="15.75" customHeight="1">
      <c r="A932" s="219" t="str">
        <f>IF(B932&lt;&gt;"",IF(AND(B932&gt;=_TM1,B932&lt;=_TM2,OR(TH!L932="1111",TH!M932="1111")),TH!D932,""),"")</f>
        <v/>
      </c>
      <c r="B932" s="36">
        <f t="shared" si="39"/>
        <v>12</v>
      </c>
      <c r="C932" s="37">
        <v>41268</v>
      </c>
      <c r="D932" s="205" t="s">
        <v>404</v>
      </c>
      <c r="E932" s="205">
        <v>41268</v>
      </c>
      <c r="F932" s="206" t="s">
        <v>406</v>
      </c>
      <c r="G932" s="206" t="s">
        <v>401</v>
      </c>
      <c r="H932" s="47" t="s">
        <v>1147</v>
      </c>
      <c r="I932" s="277"/>
      <c r="J932" s="277"/>
      <c r="K932" s="38">
        <v>17039000</v>
      </c>
      <c r="L932" s="208" t="s">
        <v>24</v>
      </c>
      <c r="M932" s="208" t="s">
        <v>311</v>
      </c>
      <c r="N932" s="55" t="str">
        <f>IF(AND('331-CT'!$E$7=TH!H932,OR(L932="331",M932="331")),"x","")</f>
        <v/>
      </c>
      <c r="O932" s="55" t="str">
        <f>IF(AND($B932&gt;='111'!$N$11,$B932&lt;='111'!$O$11,OR($L932=$O$7,$M932=$O$7)),"x","")</f>
        <v/>
      </c>
      <c r="P932" s="55" t="str">
        <f>IF(AND($L932=$O$7,$B932&lt;'111'!$N$11),"x","")</f>
        <v/>
      </c>
      <c r="Q932" s="55" t="str">
        <f>IF(AND($M932=$O$7,$B932&lt;'111'!$N$11),"x","")</f>
        <v/>
      </c>
      <c r="R932" s="55" t="str">
        <f>IF(ISERROR(FIND('112'!$M$9,G932,1)),"",IF((AND(FIND('112'!$M$9,G932,1)&gt;=1,$B932&gt;='112'!$N$8,$B932&lt;='112'!$O$8,OR($L932='112'!$I$6,$M932='112'!$I$6))),"x",""))</f>
        <v/>
      </c>
      <c r="S932" s="55" t="str">
        <f>IF(ISERROR(FIND('112'!$M$9,G932,1)),"",IF((AND(LEFT(G932,2)=LEFT('112'!$M$9,2),B932&lt;'112'!$N$8,$L932='112'!$I$6)),"x",""))</f>
        <v/>
      </c>
      <c r="T932" s="55" t="str">
        <f>IF(ISERROR(FIND('112'!$M$9,G932,1)),"",IF((AND(RIGHT(G932,2)=RIGHT('112'!$M$9,2),B932&lt;'112'!$N$8,$M932='112'!$I$6)),"x",""))</f>
        <v/>
      </c>
      <c r="U932" s="55" t="str">
        <f>IF(AND('3411-CT'!$F$9=H932,OR(LEFT(L932,3)=$U$7,LEFT(M932,3)=$U$7)),"x","")</f>
        <v/>
      </c>
      <c r="V932" s="55" t="str">
        <f>IF(OR(TH!L932=TH!$V$7,M932=TH!$V$7),"x","")</f>
        <v/>
      </c>
      <c r="W932" s="55" t="str">
        <f>IF(AND(OR(L932="131",M932="131"),H932='131-CT'!$E$7),"x","")</f>
        <v/>
      </c>
      <c r="X932" s="55" t="str">
        <f>IF(AND(B932&gt;='IN-NX'!$P$3,B932&lt;='IN-NX'!$Q$3,'IN-NX'!$D$7=D932,OR(LEFT(TH!L932,2)="15",LEFT(TH!M932,2)="15")),"x","")</f>
        <v/>
      </c>
      <c r="Y932" s="55" t="str">
        <f>IF(AND(OR(LEFT(TH!L932,2)="15",LEFT(TH!M932,2)="15"),'152-CT'!$J$8=TH!F932),"x","")</f>
        <v/>
      </c>
      <c r="Z932" s="55" t="str">
        <f>IF(AND(OR(LEFT(TH!L932,2)="15",LEFT(TH!M932,2)="15"),TK!$E$7=TH!F932),"x","")</f>
        <v/>
      </c>
      <c r="AA932" s="55" t="str">
        <f>IF(AND(B932&lt;=NKC!$N$8,B932&gt;=NKC!$M$8),"x","")</f>
        <v/>
      </c>
      <c r="AD932" s="689"/>
    </row>
    <row r="933" spans="1:30" s="226" customFormat="1" ht="15.75" customHeight="1">
      <c r="A933" s="219" t="str">
        <f>IF(B933&lt;&gt;"",IF(AND(B933&gt;=_TM1,B933&lt;=_TM2,OR(TH!L933="1111",TH!M933="1111")),TH!D933,""),"")</f>
        <v/>
      </c>
      <c r="B933" s="36">
        <f t="shared" si="39"/>
        <v>12</v>
      </c>
      <c r="C933" s="37">
        <v>41268</v>
      </c>
      <c r="D933" s="205" t="s">
        <v>404</v>
      </c>
      <c r="E933" s="205">
        <v>41268</v>
      </c>
      <c r="F933" s="206" t="s">
        <v>406</v>
      </c>
      <c r="G933" s="206" t="s">
        <v>401</v>
      </c>
      <c r="H933" s="207" t="s">
        <v>1148</v>
      </c>
      <c r="I933" s="277"/>
      <c r="J933" s="277"/>
      <c r="K933" s="38">
        <v>6158000</v>
      </c>
      <c r="L933" s="208" t="s">
        <v>24</v>
      </c>
      <c r="M933" s="208" t="s">
        <v>311</v>
      </c>
      <c r="N933" s="55" t="str">
        <f>IF(AND('331-CT'!$E$7=TH!H933,OR(L933="331",M933="331")),"x","")</f>
        <v/>
      </c>
      <c r="O933" s="55" t="str">
        <f>IF(AND($B933&gt;='111'!$N$11,$B933&lt;='111'!$O$11,OR($L933=$O$7,$M933=$O$7)),"x","")</f>
        <v/>
      </c>
      <c r="P933" s="55" t="str">
        <f>IF(AND($L933=$O$7,$B933&lt;'111'!$N$11),"x","")</f>
        <v/>
      </c>
      <c r="Q933" s="55" t="str">
        <f>IF(AND($M933=$O$7,$B933&lt;'111'!$N$11),"x","")</f>
        <v/>
      </c>
      <c r="R933" s="55" t="str">
        <f>IF(ISERROR(FIND('112'!$M$9,G933,1)),"",IF((AND(FIND('112'!$M$9,G933,1)&gt;=1,$B933&gt;='112'!$N$8,$B933&lt;='112'!$O$8,OR($L933='112'!$I$6,$M933='112'!$I$6))),"x",""))</f>
        <v/>
      </c>
      <c r="S933" s="55" t="str">
        <f>IF(ISERROR(FIND('112'!$M$9,G933,1)),"",IF((AND(LEFT(G933,2)=LEFT('112'!$M$9,2),B933&lt;'112'!$N$8,$L933='112'!$I$6)),"x",""))</f>
        <v/>
      </c>
      <c r="T933" s="55" t="str">
        <f>IF(ISERROR(FIND('112'!$M$9,G933,1)),"",IF((AND(RIGHT(G933,2)=RIGHT('112'!$M$9,2),B933&lt;'112'!$N$8,$M933='112'!$I$6)),"x",""))</f>
        <v/>
      </c>
      <c r="U933" s="55" t="str">
        <f>IF(AND('3411-CT'!$F$9=H933,OR(LEFT(L933,3)=$U$7,LEFT(M933,3)=$U$7)),"x","")</f>
        <v/>
      </c>
      <c r="V933" s="55" t="str">
        <f>IF(OR(TH!L933=TH!$V$7,M933=TH!$V$7),"x","")</f>
        <v/>
      </c>
      <c r="W933" s="55" t="str">
        <f>IF(AND(OR(L933="131",M933="131"),H933='131-CT'!$E$7),"x","")</f>
        <v/>
      </c>
      <c r="X933" s="55" t="str">
        <f>IF(AND(B933&gt;='IN-NX'!$P$3,B933&lt;='IN-NX'!$Q$3,'IN-NX'!$D$7=D933,OR(LEFT(TH!L933,2)="15",LEFT(TH!M933,2)="15")),"x","")</f>
        <v/>
      </c>
      <c r="Y933" s="55" t="str">
        <f>IF(AND(OR(LEFT(TH!L933,2)="15",LEFT(TH!M933,2)="15"),'152-CT'!$J$8=TH!F933),"x","")</f>
        <v/>
      </c>
      <c r="Z933" s="55" t="str">
        <f>IF(AND(OR(LEFT(TH!L933,2)="15",LEFT(TH!M933,2)="15"),TK!$E$7=TH!F933),"x","")</f>
        <v/>
      </c>
      <c r="AA933" s="55" t="str">
        <f>IF(AND(B933&lt;=NKC!$N$8,B933&gt;=NKC!$M$8),"x","")</f>
        <v/>
      </c>
      <c r="AD933" s="689"/>
    </row>
    <row r="934" spans="1:30" s="226" customFormat="1" ht="15.75" customHeight="1">
      <c r="A934" s="219" t="str">
        <f>IF(B934&lt;&gt;"",IF(AND(B934&gt;=_TM1,B934&lt;=_TM2,OR(TH!L934="1111",TH!M934="1111")),TH!D934,""),"")</f>
        <v>C17</v>
      </c>
      <c r="B934" s="36">
        <f t="shared" si="39"/>
        <v>12</v>
      </c>
      <c r="C934" s="37">
        <v>41268</v>
      </c>
      <c r="D934" s="37" t="s">
        <v>498</v>
      </c>
      <c r="E934" s="37">
        <v>41268</v>
      </c>
      <c r="F934" s="40" t="s">
        <v>451</v>
      </c>
      <c r="G934" s="580" t="s">
        <v>401</v>
      </c>
      <c r="H934" s="225" t="s">
        <v>706</v>
      </c>
      <c r="I934" s="278"/>
      <c r="J934" s="278"/>
      <c r="K934" s="38">
        <v>6000000</v>
      </c>
      <c r="L934" s="208" t="s">
        <v>24</v>
      </c>
      <c r="M934" s="39" t="s">
        <v>49</v>
      </c>
      <c r="N934" s="55" t="str">
        <f>IF(AND('331-CT'!$E$7=TH!H934,OR(L934="331",M934="331")),"x","")</f>
        <v/>
      </c>
      <c r="O934" s="55" t="str">
        <f>IF(AND($B934&gt;='111'!$N$11,$B934&lt;='111'!$O$11,OR($L934=$O$7,$M934=$O$7)),"x","")</f>
        <v>x</v>
      </c>
      <c r="P934" s="55" t="str">
        <f>IF(AND($L934=$O$7,$B934&lt;'111'!$N$11),"x","")</f>
        <v/>
      </c>
      <c r="Q934" s="55" t="str">
        <f>IF(AND($M934=$O$7,$B934&lt;'111'!$N$11),"x","")</f>
        <v/>
      </c>
      <c r="R934" s="55" t="str">
        <f>IF(ISERROR(FIND('112'!$M$9,G934,1)),"",IF((AND(FIND('112'!$M$9,G934,1)&gt;=1,$B934&gt;='112'!$N$8,$B934&lt;='112'!$O$8,OR($L934='112'!$I$6,$M934='112'!$I$6))),"x",""))</f>
        <v/>
      </c>
      <c r="S934" s="55" t="str">
        <f>IF(ISERROR(FIND('112'!$M$9,G934,1)),"",IF((AND(LEFT(G934,2)=LEFT('112'!$M$9,2),B934&lt;'112'!$N$8,$L934='112'!$I$6)),"x",""))</f>
        <v/>
      </c>
      <c r="T934" s="55" t="str">
        <f>IF(ISERROR(FIND('112'!$M$9,G934,1)),"",IF((AND(RIGHT(G934,2)=RIGHT('112'!$M$9,2),B934&lt;'112'!$N$8,$M934='112'!$I$6)),"x",""))</f>
        <v/>
      </c>
      <c r="U934" s="55" t="str">
        <f>IF(AND('3411-CT'!$F$9=H934,OR(LEFT(L934,3)=$U$7,LEFT(M934,3)=$U$7)),"x","")</f>
        <v/>
      </c>
      <c r="V934" s="55" t="str">
        <f>IF(OR(TH!L934=TH!$V$7,M934=TH!$V$7),"x","")</f>
        <v/>
      </c>
      <c r="W934" s="55" t="str">
        <f>IF(AND(OR(L934="131",M934="131"),H934='131-CT'!$E$7),"x","")</f>
        <v/>
      </c>
      <c r="X934" s="55" t="str">
        <f>IF(AND(B934&gt;='IN-NX'!$P$3,B934&lt;='IN-NX'!$Q$3,'IN-NX'!$D$7=D934,OR(LEFT(TH!L934,2)="15",LEFT(TH!M934,2)="15")),"x","")</f>
        <v/>
      </c>
      <c r="Y934" s="55" t="str">
        <f>IF(AND(OR(LEFT(TH!L934,2)="15",LEFT(TH!M934,2)="15"),'152-CT'!$J$8=TH!F934),"x","")</f>
        <v/>
      </c>
      <c r="Z934" s="55" t="str">
        <f>IF(AND(OR(LEFT(TH!L934,2)="15",LEFT(TH!M934,2)="15"),TK!$E$7=TH!F934),"x","")</f>
        <v/>
      </c>
      <c r="AA934" s="55" t="str">
        <f>IF(AND(B934&lt;=NKC!$N$8,B934&gt;=NKC!$M$8),"x","")</f>
        <v/>
      </c>
    </row>
    <row r="935" spans="1:30" s="226" customFormat="1" ht="15.75" customHeight="1">
      <c r="A935" s="219" t="str">
        <f>IF(B935&lt;&gt;"",IF(AND(B935&gt;=_TM1,B935&lt;=_TM2,OR(TH!L935="1111",TH!M935="1111")),TH!D935,""),"")</f>
        <v/>
      </c>
      <c r="B935" s="36">
        <f t="shared" si="39"/>
        <v>12</v>
      </c>
      <c r="C935" s="37">
        <v>41268</v>
      </c>
      <c r="D935" s="37" t="s">
        <v>404</v>
      </c>
      <c r="E935" s="37">
        <v>41268</v>
      </c>
      <c r="F935" s="40" t="s">
        <v>453</v>
      </c>
      <c r="G935" s="580" t="s">
        <v>401</v>
      </c>
      <c r="H935" s="225"/>
      <c r="I935" s="278"/>
      <c r="J935" s="278"/>
      <c r="K935" s="38">
        <v>11977</v>
      </c>
      <c r="L935" s="208" t="s">
        <v>24</v>
      </c>
      <c r="M935" s="39" t="s">
        <v>41</v>
      </c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30" s="226" customFormat="1" ht="15.75" customHeight="1">
      <c r="A936" s="219" t="str">
        <f>IF(B936&lt;&gt;"",IF(AND(B936&gt;=_TM1,B936&lt;=_TM2,OR(TH!L936="1111",TH!M936="1111")),TH!D936,""),"")</f>
        <v>T05</v>
      </c>
      <c r="B936" s="36">
        <f t="shared" si="39"/>
        <v>12</v>
      </c>
      <c r="C936" s="37">
        <v>41268</v>
      </c>
      <c r="D936" s="205" t="s">
        <v>1109</v>
      </c>
      <c r="E936" s="205">
        <v>41268</v>
      </c>
      <c r="F936" s="206" t="s">
        <v>550</v>
      </c>
      <c r="G936" s="206" t="s">
        <v>401</v>
      </c>
      <c r="H936" s="207" t="s">
        <v>706</v>
      </c>
      <c r="I936" s="277"/>
      <c r="J936" s="277"/>
      <c r="K936" s="38">
        <v>38500000</v>
      </c>
      <c r="L936" s="208" t="s">
        <v>49</v>
      </c>
      <c r="M936" s="208" t="s">
        <v>24</v>
      </c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>x</v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30" s="226" customFormat="1" ht="15.75" customHeight="1">
      <c r="A937" s="219" t="str">
        <f>IF(B937&lt;&gt;"",IF(AND(B937&gt;=_TM1,B937&lt;=_TM2,OR(TH!L937="1111",TH!M937="1111")),TH!D937,""),"")</f>
        <v/>
      </c>
      <c r="B937" s="36">
        <f t="shared" si="39"/>
        <v>12</v>
      </c>
      <c r="C937" s="37">
        <v>41268</v>
      </c>
      <c r="D937" s="205" t="s">
        <v>405</v>
      </c>
      <c r="E937" s="205">
        <v>41268</v>
      </c>
      <c r="F937" s="206" t="s">
        <v>455</v>
      </c>
      <c r="G937" s="206" t="s">
        <v>401</v>
      </c>
      <c r="H937" s="207"/>
      <c r="I937" s="277"/>
      <c r="J937" s="277"/>
      <c r="K937" s="38">
        <v>6000000</v>
      </c>
      <c r="L937" s="208" t="s">
        <v>8</v>
      </c>
      <c r="M937" s="208" t="s">
        <v>24</v>
      </c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30" s="226" customFormat="1" ht="15.75" customHeight="1">
      <c r="A938" s="219" t="str">
        <f>IF(B938&lt;&gt;"",IF(AND(B938&gt;=_TM1,B938&lt;=_TM2,OR(TH!L938="1111",TH!M938="1111")),TH!D938,""),"")</f>
        <v/>
      </c>
      <c r="B938" s="36">
        <f t="shared" si="39"/>
        <v>12</v>
      </c>
      <c r="C938" s="37">
        <v>41268</v>
      </c>
      <c r="D938" s="205" t="s">
        <v>405</v>
      </c>
      <c r="E938" s="205">
        <v>41268</v>
      </c>
      <c r="F938" s="206" t="s">
        <v>407</v>
      </c>
      <c r="G938" s="206" t="s">
        <v>401</v>
      </c>
      <c r="H938" s="207"/>
      <c r="I938" s="277"/>
      <c r="J938" s="277"/>
      <c r="K938" s="38">
        <v>20000</v>
      </c>
      <c r="L938" s="208" t="s">
        <v>87</v>
      </c>
      <c r="M938" s="208" t="s">
        <v>24</v>
      </c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30" s="226" customFormat="1" ht="15.75" customHeight="1">
      <c r="A939" s="219" t="str">
        <f>IF(B939&lt;&gt;"",IF(AND(B939&gt;=_TM1,B939&lt;=_TM2,OR(TH!L939="1111",TH!M939="1111")),TH!D939,""),"")</f>
        <v>C18</v>
      </c>
      <c r="B939" s="36">
        <f t="shared" si="39"/>
        <v>12</v>
      </c>
      <c r="C939" s="37">
        <v>41268</v>
      </c>
      <c r="D939" s="205" t="s">
        <v>499</v>
      </c>
      <c r="E939" s="205">
        <v>41268</v>
      </c>
      <c r="F939" s="206" t="s">
        <v>1096</v>
      </c>
      <c r="G939" s="206" t="s">
        <v>1097</v>
      </c>
      <c r="H939" s="207" t="s">
        <v>1098</v>
      </c>
      <c r="I939" s="277"/>
      <c r="J939" s="277"/>
      <c r="K939" s="38">
        <v>1400000</v>
      </c>
      <c r="L939" s="208" t="s">
        <v>1554</v>
      </c>
      <c r="M939" s="208" t="s">
        <v>49</v>
      </c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>x</v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30" s="226" customFormat="1" ht="15.75" customHeight="1">
      <c r="A940" s="219" t="str">
        <f>IF(B940&lt;&gt;"",IF(AND(B940&gt;=_TM1,B940&lt;=_TM2,OR(TH!L940="1111",TH!M940="1111")),TH!D940,""),"")</f>
        <v>C18</v>
      </c>
      <c r="B940" s="36">
        <f t="shared" si="39"/>
        <v>12</v>
      </c>
      <c r="C940" s="37">
        <v>41268</v>
      </c>
      <c r="D940" s="205" t="s">
        <v>499</v>
      </c>
      <c r="E940" s="205">
        <v>41268</v>
      </c>
      <c r="F940" s="206" t="s">
        <v>1099</v>
      </c>
      <c r="G940" s="206" t="s">
        <v>1097</v>
      </c>
      <c r="H940" s="207" t="s">
        <v>1098</v>
      </c>
      <c r="I940" s="277"/>
      <c r="J940" s="277"/>
      <c r="K940" s="38">
        <v>140000</v>
      </c>
      <c r="L940" s="208" t="s">
        <v>9</v>
      </c>
      <c r="M940" s="208" t="s">
        <v>49</v>
      </c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>x</v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30" s="226" customFormat="1" ht="15.75" customHeight="1">
      <c r="A941" s="219" t="str">
        <f>IF(B941&lt;&gt;"",IF(AND(B941&gt;=_TM1,B941&lt;=_TM2,OR(TH!L941="1111",TH!M941="1111")),TH!D941,""),"")</f>
        <v/>
      </c>
      <c r="B941" s="36">
        <f t="shared" si="39"/>
        <v>12</v>
      </c>
      <c r="C941" s="37">
        <v>41268</v>
      </c>
      <c r="D941" s="205" t="s">
        <v>521</v>
      </c>
      <c r="E941" s="205">
        <v>41268</v>
      </c>
      <c r="F941" s="206" t="s">
        <v>1100</v>
      </c>
      <c r="G941" s="206" t="s">
        <v>1101</v>
      </c>
      <c r="H941" s="207" t="s">
        <v>630</v>
      </c>
      <c r="I941" s="277">
        <v>60</v>
      </c>
      <c r="J941" s="277">
        <v>26179</v>
      </c>
      <c r="K941" s="38">
        <v>1570740</v>
      </c>
      <c r="L941" s="208" t="s">
        <v>186</v>
      </c>
      <c r="M941" s="699" t="s">
        <v>8</v>
      </c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  <c r="AC941" s="226" t="str">
        <f>IF(ISNA(VLOOKUP(F941,NXT!$C$18:$C$347,1,0)),x,"")</f>
        <v/>
      </c>
    </row>
    <row r="942" spans="1:30" s="226" customFormat="1" ht="15.75" customHeight="1">
      <c r="A942" s="219" t="str">
        <f>IF(B942&lt;&gt;"",IF(AND(B942&gt;=_TM1,B942&lt;=_TM2,OR(TH!L942="1111",TH!M942="1111")),TH!D942,""),"")</f>
        <v/>
      </c>
      <c r="B942" s="36">
        <f t="shared" si="39"/>
        <v>12</v>
      </c>
      <c r="C942" s="37">
        <v>41268</v>
      </c>
      <c r="D942" s="205" t="s">
        <v>521</v>
      </c>
      <c r="E942" s="205">
        <v>41268</v>
      </c>
      <c r="F942" s="206" t="s">
        <v>1102</v>
      </c>
      <c r="G942" s="206" t="s">
        <v>1101</v>
      </c>
      <c r="H942" s="207" t="s">
        <v>630</v>
      </c>
      <c r="I942" s="277">
        <v>650</v>
      </c>
      <c r="J942" s="277">
        <v>22663</v>
      </c>
      <c r="K942" s="38">
        <v>14730950</v>
      </c>
      <c r="L942" s="208" t="s">
        <v>186</v>
      </c>
      <c r="M942" s="699" t="s">
        <v>8</v>
      </c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  <c r="AC942" s="226" t="str">
        <f>IF(ISNA(VLOOKUP(F942,NXT!$C$18:$C$347,1,0)),x,"")</f>
        <v/>
      </c>
    </row>
    <row r="943" spans="1:30" s="226" customFormat="1" ht="15.75" customHeight="1">
      <c r="A943" s="219" t="str">
        <f>IF(B943&lt;&gt;"",IF(AND(B943&gt;=_TM1,B943&lt;=_TM2,OR(TH!L943="1111",TH!M943="1111")),TH!D943,""),"")</f>
        <v/>
      </c>
      <c r="B943" s="36">
        <f t="shared" si="39"/>
        <v>12</v>
      </c>
      <c r="C943" s="37">
        <v>41268</v>
      </c>
      <c r="D943" s="205" t="s">
        <v>521</v>
      </c>
      <c r="E943" s="205">
        <v>41268</v>
      </c>
      <c r="F943" s="206" t="s">
        <v>644</v>
      </c>
      <c r="G943" s="206" t="s">
        <v>1101</v>
      </c>
      <c r="H943" s="207" t="s">
        <v>630</v>
      </c>
      <c r="I943" s="277"/>
      <c r="J943" s="277"/>
      <c r="K943" s="38">
        <v>1630169</v>
      </c>
      <c r="L943" s="208" t="s">
        <v>9</v>
      </c>
      <c r="M943" s="699" t="s">
        <v>8</v>
      </c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30" s="226" customFormat="1" ht="15.75" customHeight="1">
      <c r="A944" s="219" t="str">
        <f>IF(B944&lt;&gt;"",IF(AND(B944&gt;=_TM1,B944&lt;=_TM2,OR(TH!L944="1111",TH!M944="1111")),TH!D944,""),"")</f>
        <v/>
      </c>
      <c r="B944" s="36">
        <f t="shared" si="39"/>
        <v>12</v>
      </c>
      <c r="C944" s="37">
        <v>41268</v>
      </c>
      <c r="D944" s="205" t="s">
        <v>522</v>
      </c>
      <c r="E944" s="205">
        <v>41268</v>
      </c>
      <c r="F944" s="206" t="s">
        <v>1103</v>
      </c>
      <c r="G944" s="206" t="s">
        <v>1104</v>
      </c>
      <c r="H944" s="207" t="s">
        <v>630</v>
      </c>
      <c r="I944" s="277">
        <v>517</v>
      </c>
      <c r="J944" s="277">
        <v>19982</v>
      </c>
      <c r="K944" s="38">
        <v>10330694</v>
      </c>
      <c r="L944" s="208" t="s">
        <v>186</v>
      </c>
      <c r="M944" s="699" t="s">
        <v>8</v>
      </c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  <c r="AC944" s="226" t="str">
        <f>IF(ISNA(VLOOKUP(F944,NXT!$C$18:$C$347,1,0)),x,"")</f>
        <v/>
      </c>
    </row>
    <row r="945" spans="1:29" s="226" customFormat="1" ht="15.75" customHeight="1">
      <c r="A945" s="219" t="str">
        <f>IF(B945&lt;&gt;"",IF(AND(B945&gt;=_TM1,B945&lt;=_TM2,OR(TH!L945="1111",TH!M945="1111")),TH!D945,""),"")</f>
        <v/>
      </c>
      <c r="B945" s="36">
        <f t="shared" si="39"/>
        <v>12</v>
      </c>
      <c r="C945" s="37">
        <v>41268</v>
      </c>
      <c r="D945" s="205" t="s">
        <v>522</v>
      </c>
      <c r="E945" s="37">
        <v>41268</v>
      </c>
      <c r="F945" s="40" t="s">
        <v>644</v>
      </c>
      <c r="G945" s="580" t="s">
        <v>1104</v>
      </c>
      <c r="H945" s="207" t="s">
        <v>630</v>
      </c>
      <c r="I945" s="277"/>
      <c r="J945" s="277"/>
      <c r="K945" s="38">
        <v>1033069</v>
      </c>
      <c r="L945" s="208" t="s">
        <v>9</v>
      </c>
      <c r="M945" s="699" t="s">
        <v>8</v>
      </c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9" s="226" customFormat="1" ht="15.75" customHeight="1">
      <c r="A946" s="219" t="str">
        <f>IF(B946&lt;&gt;"",IF(AND(B946&gt;=_TM1,B946&lt;=_TM2,OR(TH!L946="1111",TH!M946="1111")),TH!D946,""),"")</f>
        <v/>
      </c>
      <c r="B946" s="36">
        <f t="shared" si="39"/>
        <v>12</v>
      </c>
      <c r="C946" s="37">
        <v>41269</v>
      </c>
      <c r="D946" s="37" t="s">
        <v>405</v>
      </c>
      <c r="E946" s="37">
        <v>41269</v>
      </c>
      <c r="F946" s="40" t="s">
        <v>865</v>
      </c>
      <c r="G946" s="580" t="s">
        <v>401</v>
      </c>
      <c r="H946" s="207"/>
      <c r="I946" s="277"/>
      <c r="J946" s="277"/>
      <c r="K946" s="38">
        <v>10000</v>
      </c>
      <c r="L946" s="208" t="s">
        <v>87</v>
      </c>
      <c r="M946" s="39" t="s">
        <v>24</v>
      </c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9" s="226" customFormat="1" ht="15.75" customHeight="1">
      <c r="A947" s="219" t="str">
        <f>IF(B947&lt;&gt;"",IF(AND(B947&gt;=_TM1,B947&lt;=_TM2,OR(TH!L947="1111",TH!M947="1111")),TH!D947,""),"")</f>
        <v/>
      </c>
      <c r="B947" s="36">
        <f t="shared" si="39"/>
        <v>12</v>
      </c>
      <c r="C947" s="37">
        <v>41270</v>
      </c>
      <c r="D947" s="205" t="s">
        <v>523</v>
      </c>
      <c r="E947" s="37">
        <v>41270</v>
      </c>
      <c r="F947" s="40" t="s">
        <v>1102</v>
      </c>
      <c r="G947" s="580" t="s">
        <v>1105</v>
      </c>
      <c r="H947" s="207" t="s">
        <v>630</v>
      </c>
      <c r="I947" s="277">
        <v>338</v>
      </c>
      <c r="J947" s="277">
        <v>22663</v>
      </c>
      <c r="K947" s="38">
        <v>7660094</v>
      </c>
      <c r="L947" s="39" t="s">
        <v>186</v>
      </c>
      <c r="M947" s="699" t="s">
        <v>8</v>
      </c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  <c r="AC947" s="226" t="str">
        <f>IF(ISNA(VLOOKUP(F947,NXT!$C$18:$C$347,1,0)),x,"")</f>
        <v/>
      </c>
    </row>
    <row r="948" spans="1:29" s="226" customFormat="1" ht="15.75" customHeight="1">
      <c r="A948" s="219" t="str">
        <f>IF(B948&lt;&gt;"",IF(AND(B948&gt;=_TM1,B948&lt;=_TM2,OR(TH!L948="1111",TH!M948="1111")),TH!D948,""),"")</f>
        <v/>
      </c>
      <c r="B948" s="36">
        <f t="shared" si="39"/>
        <v>12</v>
      </c>
      <c r="C948" s="37">
        <v>41270</v>
      </c>
      <c r="D948" s="205" t="s">
        <v>523</v>
      </c>
      <c r="E948" s="37">
        <v>41270</v>
      </c>
      <c r="F948" s="40" t="s">
        <v>644</v>
      </c>
      <c r="G948" s="580" t="s">
        <v>1105</v>
      </c>
      <c r="H948" s="207" t="s">
        <v>630</v>
      </c>
      <c r="I948" s="277"/>
      <c r="J948" s="277"/>
      <c r="K948" s="38">
        <v>766009</v>
      </c>
      <c r="L948" s="39" t="s">
        <v>9</v>
      </c>
      <c r="M948" s="699" t="s">
        <v>8</v>
      </c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9" s="226" customFormat="1" ht="15.75" customHeight="1">
      <c r="A949" s="219" t="str">
        <f>IF(B949&lt;&gt;"",IF(AND(B949&gt;=_TM1,B949&lt;=_TM2,OR(TH!L949="1111",TH!M949="1111")),TH!D949,""),"")</f>
        <v/>
      </c>
      <c r="B949" s="36">
        <f t="shared" si="39"/>
        <v>12</v>
      </c>
      <c r="C949" s="37">
        <v>41271</v>
      </c>
      <c r="D949" s="205" t="s">
        <v>524</v>
      </c>
      <c r="E949" s="37">
        <v>41271</v>
      </c>
      <c r="F949" s="40" t="s">
        <v>1106</v>
      </c>
      <c r="G949" s="580" t="s">
        <v>1107</v>
      </c>
      <c r="H949" s="45" t="s">
        <v>630</v>
      </c>
      <c r="I949" s="277">
        <v>381</v>
      </c>
      <c r="J949" s="277">
        <v>19699</v>
      </c>
      <c r="K949" s="38">
        <v>7505319</v>
      </c>
      <c r="L949" s="39" t="s">
        <v>186</v>
      </c>
      <c r="M949" s="699" t="s">
        <v>8</v>
      </c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  <c r="AC949" s="226" t="str">
        <f>IF(ISNA(VLOOKUP(F949,NXT!$C$18:$C$347,1,0)),x,"")</f>
        <v/>
      </c>
    </row>
    <row r="950" spans="1:29" s="226" customFormat="1" ht="15.75" customHeight="1">
      <c r="A950" s="219" t="str">
        <f>IF(B950&lt;&gt;"",IF(AND(B950&gt;=_TM1,B950&lt;=_TM2,OR(TH!L950="1111",TH!M950="1111")),TH!D950,""),"")</f>
        <v/>
      </c>
      <c r="B950" s="36">
        <f t="shared" si="39"/>
        <v>12</v>
      </c>
      <c r="C950" s="37">
        <v>41271</v>
      </c>
      <c r="D950" s="205" t="s">
        <v>524</v>
      </c>
      <c r="E950" s="37">
        <v>41271</v>
      </c>
      <c r="F950" s="40" t="s">
        <v>1108</v>
      </c>
      <c r="G950" s="580" t="s">
        <v>1107</v>
      </c>
      <c r="H950" s="45" t="s">
        <v>630</v>
      </c>
      <c r="I950" s="277">
        <v>50</v>
      </c>
      <c r="J950" s="277">
        <v>32832</v>
      </c>
      <c r="K950" s="38">
        <v>1641600</v>
      </c>
      <c r="L950" s="39" t="s">
        <v>186</v>
      </c>
      <c r="M950" s="699" t="s">
        <v>8</v>
      </c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  <c r="AC950" s="226" t="str">
        <f>IF(ISNA(VLOOKUP(F950,NXT!$C$18:$C$347,1,0)),x,"")</f>
        <v/>
      </c>
    </row>
    <row r="951" spans="1:29" s="226" customFormat="1" ht="15.75" customHeight="1">
      <c r="A951" s="219" t="str">
        <f>IF(B951&lt;&gt;"",IF(AND(B951&gt;=_TM1,B951&lt;=_TM2,OR(TH!L951="1111",TH!M951="1111")),TH!D951,""),"")</f>
        <v/>
      </c>
      <c r="B951" s="36">
        <f t="shared" si="39"/>
        <v>12</v>
      </c>
      <c r="C951" s="37">
        <v>41271</v>
      </c>
      <c r="D951" s="205" t="s">
        <v>524</v>
      </c>
      <c r="E951" s="37">
        <v>41271</v>
      </c>
      <c r="F951" s="40" t="s">
        <v>644</v>
      </c>
      <c r="G951" s="580" t="s">
        <v>1107</v>
      </c>
      <c r="H951" s="45" t="s">
        <v>630</v>
      </c>
      <c r="I951" s="277"/>
      <c r="J951" s="277"/>
      <c r="K951" s="38">
        <v>914692</v>
      </c>
      <c r="L951" s="39" t="s">
        <v>9</v>
      </c>
      <c r="M951" s="699" t="s">
        <v>8</v>
      </c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9" s="226" customFormat="1" ht="15.75" customHeight="1">
      <c r="A952" s="219" t="str">
        <f>IF(B952&lt;&gt;"",IF(AND(B952&gt;=_TM1,B952&lt;=_TM2,OR(TH!L952="1111",TH!M952="1111")),TH!D952,""),"")</f>
        <v/>
      </c>
      <c r="B952" s="36">
        <f t="shared" si="39"/>
        <v>1</v>
      </c>
      <c r="C952" s="205">
        <f t="shared" ref="C952:C1012" si="40">E952</f>
        <v>40915</v>
      </c>
      <c r="D952" s="205"/>
      <c r="E952" s="205">
        <v>40915</v>
      </c>
      <c r="F952" s="206" t="s">
        <v>1149</v>
      </c>
      <c r="G952" s="581" t="s">
        <v>1150</v>
      </c>
      <c r="H952" s="207" t="s">
        <v>1133</v>
      </c>
      <c r="I952" s="277">
        <v>149</v>
      </c>
      <c r="J952" s="277">
        <v>18800</v>
      </c>
      <c r="K952" s="698">
        <f t="shared" ref="K952:K984" si="41">ROUND(I952*J952,0)</f>
        <v>2801200</v>
      </c>
      <c r="L952" s="208" t="s">
        <v>311</v>
      </c>
      <c r="M952" s="208" t="s">
        <v>208</v>
      </c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9" s="226" customFormat="1" ht="15.75" customHeight="1">
      <c r="A953" s="219" t="str">
        <f>IF(B953&lt;&gt;"",IF(AND(B953&gt;=_TM1,B953&lt;=_TM2,OR(TH!L953="1111",TH!M953="1111")),TH!D953,""),"")</f>
        <v/>
      </c>
      <c r="B953" s="36">
        <f t="shared" si="39"/>
        <v>1</v>
      </c>
      <c r="C953" s="205">
        <f t="shared" si="40"/>
        <v>40915</v>
      </c>
      <c r="D953" s="205"/>
      <c r="E953" s="205">
        <v>40915</v>
      </c>
      <c r="F953" s="206" t="s">
        <v>1151</v>
      </c>
      <c r="G953" s="581" t="s">
        <v>1150</v>
      </c>
      <c r="H953" s="207" t="s">
        <v>1133</v>
      </c>
      <c r="I953" s="277">
        <v>300</v>
      </c>
      <c r="J953" s="277">
        <v>1200</v>
      </c>
      <c r="K953" s="698">
        <f t="shared" si="41"/>
        <v>360000</v>
      </c>
      <c r="L953" s="208" t="s">
        <v>311</v>
      </c>
      <c r="M953" s="208" t="s">
        <v>208</v>
      </c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9" s="226" customFormat="1" ht="15.75" customHeight="1">
      <c r="A954" s="219" t="str">
        <f>IF(B954&lt;&gt;"",IF(AND(B954&gt;=_TM1,B954&lt;=_TM2,OR(TH!L954="1111",TH!M954="1111")),TH!D954,""),"")</f>
        <v/>
      </c>
      <c r="B954" s="36">
        <f t="shared" si="39"/>
        <v>1</v>
      </c>
      <c r="C954" s="205">
        <f t="shared" si="40"/>
        <v>40915</v>
      </c>
      <c r="D954" s="205"/>
      <c r="E954" s="205">
        <v>40915</v>
      </c>
      <c r="F954" s="206" t="s">
        <v>1152</v>
      </c>
      <c r="G954" s="581" t="s">
        <v>1150</v>
      </c>
      <c r="H954" s="207" t="s">
        <v>1133</v>
      </c>
      <c r="I954" s="277">
        <v>119</v>
      </c>
      <c r="J954" s="277">
        <v>36700</v>
      </c>
      <c r="K954" s="698">
        <f t="shared" si="41"/>
        <v>4367300</v>
      </c>
      <c r="L954" s="208" t="s">
        <v>311</v>
      </c>
      <c r="M954" s="208" t="s">
        <v>208</v>
      </c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9" s="226" customFormat="1" ht="15.75" customHeight="1">
      <c r="A955" s="219" t="str">
        <f>IF(B955&lt;&gt;"",IF(AND(B955&gt;=_TM1,B955&lt;=_TM2,OR(TH!L955="1111",TH!M955="1111")),TH!D955,""),"")</f>
        <v/>
      </c>
      <c r="B955" s="36">
        <f t="shared" si="39"/>
        <v>1</v>
      </c>
      <c r="C955" s="205">
        <f t="shared" si="40"/>
        <v>40915</v>
      </c>
      <c r="D955" s="205"/>
      <c r="E955" s="205">
        <v>40915</v>
      </c>
      <c r="F955" s="206" t="s">
        <v>1153</v>
      </c>
      <c r="G955" s="581" t="s">
        <v>1150</v>
      </c>
      <c r="H955" s="207" t="s">
        <v>1133</v>
      </c>
      <c r="I955" s="277">
        <v>240</v>
      </c>
      <c r="J955" s="277">
        <v>2900</v>
      </c>
      <c r="K955" s="698">
        <f t="shared" si="41"/>
        <v>696000</v>
      </c>
      <c r="L955" s="208" t="s">
        <v>311</v>
      </c>
      <c r="M955" s="208" t="s">
        <v>208</v>
      </c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9" s="226" customFormat="1" ht="15.75" customHeight="1">
      <c r="A956" s="219" t="str">
        <f>IF(B956&lt;&gt;"",IF(AND(B956&gt;=_TM1,B956&lt;=_TM2,OR(TH!L956="1111",TH!M956="1111")),TH!D956,""),"")</f>
        <v/>
      </c>
      <c r="B956" s="36">
        <f t="shared" si="39"/>
        <v>1</v>
      </c>
      <c r="C956" s="205">
        <f t="shared" si="40"/>
        <v>40915</v>
      </c>
      <c r="D956" s="205"/>
      <c r="E956" s="205">
        <v>40915</v>
      </c>
      <c r="F956" s="206" t="s">
        <v>1154</v>
      </c>
      <c r="G956" s="581" t="s">
        <v>1150</v>
      </c>
      <c r="H956" s="207" t="s">
        <v>1133</v>
      </c>
      <c r="I956" s="277">
        <v>3900</v>
      </c>
      <c r="J956" s="277">
        <v>123</v>
      </c>
      <c r="K956" s="698">
        <f t="shared" si="41"/>
        <v>479700</v>
      </c>
      <c r="L956" s="208" t="s">
        <v>311</v>
      </c>
      <c r="M956" s="208" t="s">
        <v>208</v>
      </c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9" s="226" customFormat="1" ht="15.75" customHeight="1">
      <c r="A957" s="219" t="str">
        <f>IF(B957&lt;&gt;"",IF(AND(B957&gt;=_TM1,B957&lt;=_TM2,OR(TH!L957="1111",TH!M957="1111")),TH!D957,""),"")</f>
        <v/>
      </c>
      <c r="B957" s="36">
        <f t="shared" si="39"/>
        <v>1</v>
      </c>
      <c r="C957" s="205">
        <f t="shared" si="40"/>
        <v>40915</v>
      </c>
      <c r="D957" s="205"/>
      <c r="E957" s="205">
        <v>40915</v>
      </c>
      <c r="F957" s="206" t="s">
        <v>1155</v>
      </c>
      <c r="G957" s="581" t="s">
        <v>1150</v>
      </c>
      <c r="H957" s="207" t="s">
        <v>1133</v>
      </c>
      <c r="I957" s="277"/>
      <c r="J957" s="277"/>
      <c r="K957" s="698">
        <v>810420</v>
      </c>
      <c r="L957" s="208" t="s">
        <v>311</v>
      </c>
      <c r="M957" s="208" t="s">
        <v>549</v>
      </c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9" s="226" customFormat="1" ht="15.75" customHeight="1">
      <c r="A958" s="219" t="str">
        <f>IF(B958&lt;&gt;"",IF(AND(B958&gt;=_TM1,B958&lt;=_TM2,OR(TH!L958="1111",TH!M958="1111")),TH!D958,""),"")</f>
        <v/>
      </c>
      <c r="B958" s="36">
        <f t="shared" ref="B958:B991" si="42">IF(C958&lt;&gt;"",MONTH(C958),"")</f>
        <v>1</v>
      </c>
      <c r="C958" s="205">
        <f t="shared" si="40"/>
        <v>40917</v>
      </c>
      <c r="D958" s="205"/>
      <c r="E958" s="205">
        <v>40917</v>
      </c>
      <c r="F958" s="206" t="s">
        <v>1156</v>
      </c>
      <c r="G958" s="581" t="s">
        <v>1157</v>
      </c>
      <c r="H958" s="207" t="s">
        <v>1158</v>
      </c>
      <c r="I958" s="277">
        <v>973</v>
      </c>
      <c r="J958" s="277">
        <v>17850</v>
      </c>
      <c r="K958" s="698">
        <f t="shared" si="41"/>
        <v>17368050</v>
      </c>
      <c r="L958" s="208" t="s">
        <v>49</v>
      </c>
      <c r="M958" s="208" t="s">
        <v>208</v>
      </c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>x</v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9" s="226" customFormat="1" ht="15.75" customHeight="1">
      <c r="A959" s="219" t="str">
        <f>IF(B959&lt;&gt;"",IF(AND(B959&gt;=_TM1,B959&lt;=_TM2,OR(TH!L959="1111",TH!M959="1111")),TH!D959,""),"")</f>
        <v/>
      </c>
      <c r="B959" s="36">
        <f t="shared" si="42"/>
        <v>1</v>
      </c>
      <c r="C959" s="205">
        <f t="shared" si="40"/>
        <v>40917</v>
      </c>
      <c r="D959" s="205"/>
      <c r="E959" s="205">
        <v>40917</v>
      </c>
      <c r="F959" s="206" t="s">
        <v>1155</v>
      </c>
      <c r="G959" s="581" t="s">
        <v>1157</v>
      </c>
      <c r="H959" s="207" t="s">
        <v>1158</v>
      </c>
      <c r="I959" s="277"/>
      <c r="J959" s="277"/>
      <c r="K959" s="698">
        <v>1736805</v>
      </c>
      <c r="L959" s="208" t="s">
        <v>49</v>
      </c>
      <c r="M959" s="208" t="s">
        <v>549</v>
      </c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>x</v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9" s="226" customFormat="1" ht="15.75" customHeight="1">
      <c r="A960" s="219" t="str">
        <f>IF(B960&lt;&gt;"",IF(AND(B960&gt;=_TM1,B960&lt;=_TM2,OR(TH!L960="1111",TH!M960="1111")),TH!D960,""),"")</f>
        <v/>
      </c>
      <c r="B960" s="36">
        <f t="shared" si="42"/>
        <v>1</v>
      </c>
      <c r="C960" s="205">
        <f t="shared" si="40"/>
        <v>40917</v>
      </c>
      <c r="D960" s="205"/>
      <c r="E960" s="205">
        <v>40917</v>
      </c>
      <c r="F960" s="206" t="s">
        <v>1156</v>
      </c>
      <c r="G960" s="581" t="s">
        <v>1159</v>
      </c>
      <c r="H960" s="207" t="s">
        <v>1160</v>
      </c>
      <c r="I960" s="277">
        <v>1000</v>
      </c>
      <c r="J960" s="277">
        <v>10000</v>
      </c>
      <c r="K960" s="698">
        <f t="shared" si="41"/>
        <v>10000000</v>
      </c>
      <c r="L960" s="208" t="s">
        <v>49</v>
      </c>
      <c r="M960" s="208" t="s">
        <v>208</v>
      </c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>x</v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61" spans="1:29" s="226" customFormat="1" ht="15.75" customHeight="1">
      <c r="A961" s="219" t="str">
        <f>IF(B961&lt;&gt;"",IF(AND(B961&gt;=_TM1,B961&lt;=_TM2,OR(TH!L961="1111",TH!M961="1111")),TH!D961,""),"")</f>
        <v/>
      </c>
      <c r="B961" s="36">
        <f t="shared" si="42"/>
        <v>1</v>
      </c>
      <c r="C961" s="205">
        <f t="shared" si="40"/>
        <v>40917</v>
      </c>
      <c r="D961" s="205"/>
      <c r="E961" s="205">
        <v>40917</v>
      </c>
      <c r="F961" s="206" t="s">
        <v>1155</v>
      </c>
      <c r="G961" s="581" t="s">
        <v>1159</v>
      </c>
      <c r="H961" s="207" t="s">
        <v>1160</v>
      </c>
      <c r="I961" s="277"/>
      <c r="J961" s="277"/>
      <c r="K961" s="698">
        <v>1000000</v>
      </c>
      <c r="L961" s="208" t="s">
        <v>49</v>
      </c>
      <c r="M961" s="208" t="s">
        <v>549</v>
      </c>
      <c r="N961" s="55" t="str">
        <f>IF(AND('331-CT'!$E$7=TH!H961,OR(L961="331",M961="331")),"x","")</f>
        <v/>
      </c>
      <c r="O961" s="55" t="str">
        <f>IF(AND($B961&gt;='111'!$N$11,$B961&lt;='111'!$O$11,OR($L961=$O$7,$M961=$O$7)),"x","")</f>
        <v/>
      </c>
      <c r="P961" s="55" t="str">
        <f>IF(AND($L961=$O$7,$B961&lt;'111'!$N$11),"x","")</f>
        <v>x</v>
      </c>
      <c r="Q961" s="55" t="str">
        <f>IF(AND($M961=$O$7,$B961&lt;'111'!$N$11),"x","")</f>
        <v/>
      </c>
      <c r="R961" s="55" t="str">
        <f>IF(ISERROR(FIND('112'!$M$9,G961,1)),"",IF((AND(FIND('112'!$M$9,G961,1)&gt;=1,$B961&gt;='112'!$N$8,$B961&lt;='112'!$O$8,OR($L961='112'!$I$6,$M961='112'!$I$6))),"x",""))</f>
        <v/>
      </c>
      <c r="S961" s="55" t="str">
        <f>IF(ISERROR(FIND('112'!$M$9,G961,1)),"",IF((AND(LEFT(G961,2)=LEFT('112'!$M$9,2),B961&lt;'112'!$N$8,$L961='112'!$I$6)),"x",""))</f>
        <v/>
      </c>
      <c r="T961" s="55" t="str">
        <f>IF(ISERROR(FIND('112'!$M$9,G961,1)),"",IF((AND(RIGHT(G961,2)=RIGHT('112'!$M$9,2),B961&lt;'112'!$N$8,$M961='112'!$I$6)),"x",""))</f>
        <v/>
      </c>
      <c r="U961" s="55" t="str">
        <f>IF(AND('3411-CT'!$F$9=H961,OR(LEFT(L961,3)=$U$7,LEFT(M961,3)=$U$7)),"x","")</f>
        <v/>
      </c>
      <c r="V961" s="55" t="str">
        <f>IF(OR(TH!L961=TH!$V$7,M961=TH!$V$7),"x","")</f>
        <v/>
      </c>
      <c r="W961" s="55" t="str">
        <f>IF(AND(OR(L961="131",M961="131"),H961='131-CT'!$E$7),"x","")</f>
        <v/>
      </c>
      <c r="X961" s="55" t="str">
        <f>IF(AND(B961&gt;='IN-NX'!$P$3,B961&lt;='IN-NX'!$Q$3,'IN-NX'!$D$7=D961,OR(LEFT(TH!L961,2)="15",LEFT(TH!M961,2)="15")),"x","")</f>
        <v/>
      </c>
      <c r="Y961" s="55" t="str">
        <f>IF(AND(OR(LEFT(TH!L961,2)="15",LEFT(TH!M961,2)="15"),'152-CT'!$J$8=TH!F961),"x","")</f>
        <v/>
      </c>
      <c r="Z961" s="55" t="str">
        <f>IF(AND(OR(LEFT(TH!L961,2)="15",LEFT(TH!M961,2)="15"),TK!$E$7=TH!F961),"x","")</f>
        <v/>
      </c>
      <c r="AA961" s="55" t="str">
        <f>IF(AND(B961&lt;=NKC!$N$8,B961&gt;=NKC!$M$8),"x","")</f>
        <v/>
      </c>
    </row>
    <row r="962" spans="1:29" s="226" customFormat="1" ht="15.75" customHeight="1">
      <c r="A962" s="219" t="str">
        <f>IF(B962&lt;&gt;"",IF(AND(B962&gt;=_TM1,B962&lt;=_TM2,OR(TH!L962="1111",TH!M962="1111")),TH!D962,""),"")</f>
        <v/>
      </c>
      <c r="B962" s="36">
        <f t="shared" si="42"/>
        <v>1</v>
      </c>
      <c r="C962" s="205">
        <f t="shared" si="40"/>
        <v>40918</v>
      </c>
      <c r="D962" s="205"/>
      <c r="E962" s="205">
        <v>40918</v>
      </c>
      <c r="F962" s="206" t="s">
        <v>1156</v>
      </c>
      <c r="G962" s="581" t="s">
        <v>1161</v>
      </c>
      <c r="H962" s="207" t="s">
        <v>1160</v>
      </c>
      <c r="I962" s="277">
        <v>202</v>
      </c>
      <c r="J962" s="277">
        <v>43800</v>
      </c>
      <c r="K962" s="698">
        <f t="shared" si="41"/>
        <v>8847600</v>
      </c>
      <c r="L962" s="208" t="s">
        <v>49</v>
      </c>
      <c r="M962" s="208" t="s">
        <v>208</v>
      </c>
      <c r="N962" s="55" t="str">
        <f>IF(AND('331-CT'!$E$7=TH!H962,OR(L962="331",M962="331")),"x","")</f>
        <v/>
      </c>
      <c r="O962" s="55" t="str">
        <f>IF(AND($B962&gt;='111'!$N$11,$B962&lt;='111'!$O$11,OR($L962=$O$7,$M962=$O$7)),"x","")</f>
        <v/>
      </c>
      <c r="P962" s="55" t="str">
        <f>IF(AND($L962=$O$7,$B962&lt;'111'!$N$11),"x","")</f>
        <v>x</v>
      </c>
      <c r="Q962" s="55" t="str">
        <f>IF(AND($M962=$O$7,$B962&lt;'111'!$N$11),"x","")</f>
        <v/>
      </c>
      <c r="R962" s="55" t="str">
        <f>IF(ISERROR(FIND('112'!$M$9,G962,1)),"",IF((AND(FIND('112'!$M$9,G962,1)&gt;=1,$B962&gt;='112'!$N$8,$B962&lt;='112'!$O$8,OR($L962='112'!$I$6,$M962='112'!$I$6))),"x",""))</f>
        <v/>
      </c>
      <c r="S962" s="55" t="str">
        <f>IF(ISERROR(FIND('112'!$M$9,G962,1)),"",IF((AND(LEFT(G962,2)=LEFT('112'!$M$9,2),B962&lt;'112'!$N$8,$L962='112'!$I$6)),"x",""))</f>
        <v/>
      </c>
      <c r="T962" s="55" t="str">
        <f>IF(ISERROR(FIND('112'!$M$9,G962,1)),"",IF((AND(RIGHT(G962,2)=RIGHT('112'!$M$9,2),B962&lt;'112'!$N$8,$M962='112'!$I$6)),"x",""))</f>
        <v/>
      </c>
      <c r="U962" s="55" t="str">
        <f>IF(AND('3411-CT'!$F$9=H962,OR(LEFT(L962,3)=$U$7,LEFT(M962,3)=$U$7)),"x","")</f>
        <v/>
      </c>
      <c r="V962" s="55" t="str">
        <f>IF(OR(TH!L962=TH!$V$7,M962=TH!$V$7),"x","")</f>
        <v/>
      </c>
      <c r="W962" s="55" t="str">
        <f>IF(AND(OR(L962="131",M962="131"),H962='131-CT'!$E$7),"x","")</f>
        <v/>
      </c>
      <c r="X962" s="55" t="str">
        <f>IF(AND(B962&gt;='IN-NX'!$P$3,B962&lt;='IN-NX'!$Q$3,'IN-NX'!$D$7=D962,OR(LEFT(TH!L962,2)="15",LEFT(TH!M962,2)="15")),"x","")</f>
        <v/>
      </c>
      <c r="Y962" s="55" t="str">
        <f>IF(AND(OR(LEFT(TH!L962,2)="15",LEFT(TH!M962,2)="15"),'152-CT'!$J$8=TH!F962),"x","")</f>
        <v/>
      </c>
      <c r="Z962" s="55" t="str">
        <f>IF(AND(OR(LEFT(TH!L962,2)="15",LEFT(TH!M962,2)="15"),TK!$E$7=TH!F962),"x","")</f>
        <v/>
      </c>
      <c r="AA962" s="55" t="str">
        <f>IF(AND(B962&lt;=NKC!$N$8,B962&gt;=NKC!$M$8),"x","")</f>
        <v/>
      </c>
    </row>
    <row r="963" spans="1:29" s="226" customFormat="1" ht="15.75" customHeight="1">
      <c r="A963" s="219" t="str">
        <f>IF(B963&lt;&gt;"",IF(AND(B963&gt;=_TM1,B963&lt;=_TM2,OR(TH!L963="1111",TH!M963="1111")),TH!D963,""),"")</f>
        <v/>
      </c>
      <c r="B963" s="36">
        <f t="shared" si="42"/>
        <v>1</v>
      </c>
      <c r="C963" s="205">
        <f t="shared" si="40"/>
        <v>40918</v>
      </c>
      <c r="D963" s="205"/>
      <c r="E963" s="205">
        <v>40918</v>
      </c>
      <c r="F963" s="206" t="s">
        <v>1155</v>
      </c>
      <c r="G963" s="581" t="s">
        <v>1161</v>
      </c>
      <c r="H963" s="207" t="s">
        <v>1160</v>
      </c>
      <c r="I963" s="277"/>
      <c r="J963" s="277"/>
      <c r="K963" s="698">
        <v>884760</v>
      </c>
      <c r="L963" s="208" t="s">
        <v>49</v>
      </c>
      <c r="M963" s="208" t="s">
        <v>549</v>
      </c>
      <c r="N963" s="55" t="str">
        <f>IF(AND('331-CT'!$E$7=TH!H963,OR(L963="331",M963="331")),"x","")</f>
        <v/>
      </c>
      <c r="O963" s="55" t="str">
        <f>IF(AND($B963&gt;='111'!$N$11,$B963&lt;='111'!$O$11,OR($L963=$O$7,$M963=$O$7)),"x","")</f>
        <v/>
      </c>
      <c r="P963" s="55" t="str">
        <f>IF(AND($L963=$O$7,$B963&lt;'111'!$N$11),"x","")</f>
        <v>x</v>
      </c>
      <c r="Q963" s="55" t="str">
        <f>IF(AND($M963=$O$7,$B963&lt;'111'!$N$11),"x","")</f>
        <v/>
      </c>
      <c r="R963" s="55" t="str">
        <f>IF(ISERROR(FIND('112'!$M$9,G963,1)),"",IF((AND(FIND('112'!$M$9,G963,1)&gt;=1,$B963&gt;='112'!$N$8,$B963&lt;='112'!$O$8,OR($L963='112'!$I$6,$M963='112'!$I$6))),"x",""))</f>
        <v/>
      </c>
      <c r="S963" s="55" t="str">
        <f>IF(ISERROR(FIND('112'!$M$9,G963,1)),"",IF((AND(LEFT(G963,2)=LEFT('112'!$M$9,2),B963&lt;'112'!$N$8,$L963='112'!$I$6)),"x",""))</f>
        <v/>
      </c>
      <c r="T963" s="55" t="str">
        <f>IF(ISERROR(FIND('112'!$M$9,G963,1)),"",IF((AND(RIGHT(G963,2)=RIGHT('112'!$M$9,2),B963&lt;'112'!$N$8,$M963='112'!$I$6)),"x",""))</f>
        <v/>
      </c>
      <c r="U963" s="55" t="str">
        <f>IF(AND('3411-CT'!$F$9=H963,OR(LEFT(L963,3)=$U$7,LEFT(M963,3)=$U$7)),"x","")</f>
        <v/>
      </c>
      <c r="V963" s="55" t="str">
        <f>IF(OR(TH!L963=TH!$V$7,M963=TH!$V$7),"x","")</f>
        <v/>
      </c>
      <c r="W963" s="55" t="str">
        <f>IF(AND(OR(L963="131",M963="131"),H963='131-CT'!$E$7),"x","")</f>
        <v/>
      </c>
      <c r="X963" s="55" t="str">
        <f>IF(AND(B963&gt;='IN-NX'!$P$3,B963&lt;='IN-NX'!$Q$3,'IN-NX'!$D$7=D963,OR(LEFT(TH!L963,2)="15",LEFT(TH!M963,2)="15")),"x","")</f>
        <v/>
      </c>
      <c r="Y963" s="55" t="str">
        <f>IF(AND(OR(LEFT(TH!L963,2)="15",LEFT(TH!M963,2)="15"),'152-CT'!$J$8=TH!F963),"x","")</f>
        <v/>
      </c>
      <c r="Z963" s="55" t="str">
        <f>IF(AND(OR(LEFT(TH!L963,2)="15",LEFT(TH!M963,2)="15"),TK!$E$7=TH!F963),"x","")</f>
        <v/>
      </c>
      <c r="AA963" s="55" t="str">
        <f>IF(AND(B963&lt;=NKC!$N$8,B963&gt;=NKC!$M$8),"x","")</f>
        <v/>
      </c>
    </row>
    <row r="964" spans="1:29" s="226" customFormat="1" ht="15.75" customHeight="1">
      <c r="A964" s="219" t="str">
        <f>IF(B964&lt;&gt;"",IF(AND(B964&gt;=_TM1,B964&lt;=_TM2,OR(TH!L964="1111",TH!M964="1111")),TH!D964,""),"")</f>
        <v/>
      </c>
      <c r="B964" s="36">
        <f t="shared" si="42"/>
        <v>1</v>
      </c>
      <c r="C964" s="205">
        <f t="shared" si="40"/>
        <v>40922</v>
      </c>
      <c r="D964" s="205"/>
      <c r="E964" s="205">
        <v>40922</v>
      </c>
      <c r="F964" s="206" t="s">
        <v>1162</v>
      </c>
      <c r="G964" s="581" t="s">
        <v>1163</v>
      </c>
      <c r="H964" s="7" t="s">
        <v>1132</v>
      </c>
      <c r="I964" s="277">
        <v>492</v>
      </c>
      <c r="J964" s="277">
        <v>5180</v>
      </c>
      <c r="K964" s="698">
        <f t="shared" si="41"/>
        <v>2548560</v>
      </c>
      <c r="L964" s="208" t="s">
        <v>311</v>
      </c>
      <c r="M964" s="208" t="s">
        <v>208</v>
      </c>
      <c r="N964" s="55" t="str">
        <f>IF(AND('331-CT'!$E$7=TH!H964,OR(L964="331",M964="331")),"x","")</f>
        <v/>
      </c>
      <c r="O964" s="55" t="str">
        <f>IF(AND($B964&gt;='111'!$N$11,$B964&lt;='111'!$O$11,OR($L964=$O$7,$M964=$O$7)),"x","")</f>
        <v/>
      </c>
      <c r="P964" s="55" t="str">
        <f>IF(AND($L964=$O$7,$B964&lt;'111'!$N$11),"x","")</f>
        <v/>
      </c>
      <c r="Q964" s="55" t="str">
        <f>IF(AND($M964=$O$7,$B964&lt;'111'!$N$11),"x","")</f>
        <v/>
      </c>
      <c r="R964" s="55" t="str">
        <f>IF(ISERROR(FIND('112'!$M$9,G964,1)),"",IF((AND(FIND('112'!$M$9,G964,1)&gt;=1,$B964&gt;='112'!$N$8,$B964&lt;='112'!$O$8,OR($L964='112'!$I$6,$M964='112'!$I$6))),"x",""))</f>
        <v/>
      </c>
      <c r="S964" s="55" t="str">
        <f>IF(ISERROR(FIND('112'!$M$9,G964,1)),"",IF((AND(LEFT(G964,2)=LEFT('112'!$M$9,2),B964&lt;'112'!$N$8,$L964='112'!$I$6)),"x",""))</f>
        <v/>
      </c>
      <c r="T964" s="55" t="str">
        <f>IF(ISERROR(FIND('112'!$M$9,G964,1)),"",IF((AND(RIGHT(G964,2)=RIGHT('112'!$M$9,2),B964&lt;'112'!$N$8,$M964='112'!$I$6)),"x",""))</f>
        <v/>
      </c>
      <c r="U964" s="55" t="str">
        <f>IF(AND('3411-CT'!$F$9=H964,OR(LEFT(L964,3)=$U$7,LEFT(M964,3)=$U$7)),"x","")</f>
        <v/>
      </c>
      <c r="V964" s="55" t="str">
        <f>IF(OR(TH!L964=TH!$V$7,M964=TH!$V$7),"x","")</f>
        <v/>
      </c>
      <c r="W964" s="55" t="str">
        <f>IF(AND(OR(L964="131",M964="131"),H964='131-CT'!$E$7),"x","")</f>
        <v/>
      </c>
      <c r="X964" s="55" t="str">
        <f>IF(AND(B964&gt;='IN-NX'!$P$3,B964&lt;='IN-NX'!$Q$3,'IN-NX'!$D$7=D964,OR(LEFT(TH!L964,2)="15",LEFT(TH!M964,2)="15")),"x","")</f>
        <v/>
      </c>
      <c r="Y964" s="55" t="str">
        <f>IF(AND(OR(LEFT(TH!L964,2)="15",LEFT(TH!M964,2)="15"),'152-CT'!$J$8=TH!F964),"x","")</f>
        <v/>
      </c>
      <c r="Z964" s="55" t="str">
        <f>IF(AND(OR(LEFT(TH!L964,2)="15",LEFT(TH!M964,2)="15"),TK!$E$7=TH!F964),"x","")</f>
        <v/>
      </c>
      <c r="AA964" s="55" t="str">
        <f>IF(AND(B964&lt;=NKC!$N$8,B964&gt;=NKC!$M$8),"x","")</f>
        <v/>
      </c>
    </row>
    <row r="965" spans="1:29" s="226" customFormat="1" ht="15.75" customHeight="1">
      <c r="A965" s="219" t="str">
        <f>IF(B965&lt;&gt;"",IF(AND(B965&gt;=_TM1,B965&lt;=_TM2,OR(TH!L965="1111",TH!M965="1111")),TH!D965,""),"")</f>
        <v/>
      </c>
      <c r="B965" s="36">
        <f t="shared" si="42"/>
        <v>1</v>
      </c>
      <c r="C965" s="205">
        <f t="shared" si="40"/>
        <v>40922</v>
      </c>
      <c r="D965" s="205"/>
      <c r="E965" s="205">
        <v>40922</v>
      </c>
      <c r="F965" s="206" t="s">
        <v>1164</v>
      </c>
      <c r="G965" s="581" t="s">
        <v>1163</v>
      </c>
      <c r="H965" s="7" t="s">
        <v>1132</v>
      </c>
      <c r="I965" s="277">
        <v>304</v>
      </c>
      <c r="J965" s="277">
        <v>5100</v>
      </c>
      <c r="K965" s="698">
        <f t="shared" si="41"/>
        <v>1550400</v>
      </c>
      <c r="L965" s="208" t="s">
        <v>311</v>
      </c>
      <c r="M965" s="208" t="s">
        <v>208</v>
      </c>
      <c r="N965" s="55" t="str">
        <f>IF(AND('331-CT'!$E$7=TH!H965,OR(L965="331",M965="331")),"x","")</f>
        <v/>
      </c>
      <c r="O965" s="55" t="str">
        <f>IF(AND($B965&gt;='111'!$N$11,$B965&lt;='111'!$O$11,OR($L965=$O$7,$M965=$O$7)),"x","")</f>
        <v/>
      </c>
      <c r="P965" s="55" t="str">
        <f>IF(AND($L965=$O$7,$B965&lt;'111'!$N$11),"x","")</f>
        <v/>
      </c>
      <c r="Q965" s="55" t="str">
        <f>IF(AND($M965=$O$7,$B965&lt;'111'!$N$11),"x","")</f>
        <v/>
      </c>
      <c r="R965" s="55" t="str">
        <f>IF(ISERROR(FIND('112'!$M$9,G965,1)),"",IF((AND(FIND('112'!$M$9,G965,1)&gt;=1,$B965&gt;='112'!$N$8,$B965&lt;='112'!$O$8,OR($L965='112'!$I$6,$M965='112'!$I$6))),"x",""))</f>
        <v/>
      </c>
      <c r="S965" s="55" t="str">
        <f>IF(ISERROR(FIND('112'!$M$9,G965,1)),"",IF((AND(LEFT(G965,2)=LEFT('112'!$M$9,2),B965&lt;'112'!$N$8,$L965='112'!$I$6)),"x",""))</f>
        <v/>
      </c>
      <c r="T965" s="55" t="str">
        <f>IF(ISERROR(FIND('112'!$M$9,G965,1)),"",IF((AND(RIGHT(G965,2)=RIGHT('112'!$M$9,2),B965&lt;'112'!$N$8,$M965='112'!$I$6)),"x",""))</f>
        <v/>
      </c>
      <c r="U965" s="55" t="str">
        <f>IF(AND('3411-CT'!$F$9=H965,OR(LEFT(L965,3)=$U$7,LEFT(M965,3)=$U$7)),"x","")</f>
        <v/>
      </c>
      <c r="V965" s="55" t="str">
        <f>IF(OR(TH!L965=TH!$V$7,M965=TH!$V$7),"x","")</f>
        <v/>
      </c>
      <c r="W965" s="55" t="str">
        <f>IF(AND(OR(L965="131",M965="131"),H965='131-CT'!$E$7),"x","")</f>
        <v/>
      </c>
      <c r="X965" s="55" t="str">
        <f>IF(AND(B965&gt;='IN-NX'!$P$3,B965&lt;='IN-NX'!$Q$3,'IN-NX'!$D$7=D965,OR(LEFT(TH!L965,2)="15",LEFT(TH!M965,2)="15")),"x","")</f>
        <v/>
      </c>
      <c r="Y965" s="55" t="str">
        <f>IF(AND(OR(LEFT(TH!L965,2)="15",LEFT(TH!M965,2)="15"),'152-CT'!$J$8=TH!F965),"x","")</f>
        <v/>
      </c>
      <c r="Z965" s="55" t="str">
        <f>IF(AND(OR(LEFT(TH!L965,2)="15",LEFT(TH!M965,2)="15"),TK!$E$7=TH!F965),"x","")</f>
        <v/>
      </c>
      <c r="AA965" s="55" t="str">
        <f>IF(AND(B965&lt;=NKC!$N$8,B965&gt;=NKC!$M$8),"x","")</f>
        <v/>
      </c>
    </row>
    <row r="966" spans="1:29" s="226" customFormat="1" ht="15.75" customHeight="1">
      <c r="A966" s="219" t="str">
        <f>IF(B966&lt;&gt;"",IF(AND(B966&gt;=_TM1,B966&lt;=_TM2,OR(TH!L966="1111",TH!M966="1111")),TH!D966,""),"")</f>
        <v/>
      </c>
      <c r="B966" s="36">
        <f t="shared" si="42"/>
        <v>1</v>
      </c>
      <c r="C966" s="205">
        <f t="shared" si="40"/>
        <v>40922</v>
      </c>
      <c r="D966" s="205"/>
      <c r="E966" s="205">
        <v>40922</v>
      </c>
      <c r="F966" s="206" t="s">
        <v>1165</v>
      </c>
      <c r="G966" s="581" t="s">
        <v>1163</v>
      </c>
      <c r="H966" s="7" t="s">
        <v>1132</v>
      </c>
      <c r="I966" s="277">
        <v>1000</v>
      </c>
      <c r="J966" s="277">
        <v>9500</v>
      </c>
      <c r="K966" s="698">
        <f t="shared" si="41"/>
        <v>9500000</v>
      </c>
      <c r="L966" s="208" t="s">
        <v>311</v>
      </c>
      <c r="M966" s="208" t="s">
        <v>208</v>
      </c>
      <c r="N966" s="55" t="str">
        <f>IF(AND('331-CT'!$E$7=TH!H966,OR(L966="331",M966="331")),"x","")</f>
        <v/>
      </c>
      <c r="O966" s="55" t="str">
        <f>IF(AND($B966&gt;='111'!$N$11,$B966&lt;='111'!$O$11,OR($L966=$O$7,$M966=$O$7)),"x","")</f>
        <v/>
      </c>
      <c r="P966" s="55" t="str">
        <f>IF(AND($L966=$O$7,$B966&lt;'111'!$N$11),"x","")</f>
        <v/>
      </c>
      <c r="Q966" s="55" t="str">
        <f>IF(AND($M966=$O$7,$B966&lt;'111'!$N$11),"x","")</f>
        <v/>
      </c>
      <c r="R966" s="55" t="str">
        <f>IF(ISERROR(FIND('112'!$M$9,G966,1)),"",IF((AND(FIND('112'!$M$9,G966,1)&gt;=1,$B966&gt;='112'!$N$8,$B966&lt;='112'!$O$8,OR($L966='112'!$I$6,$M966='112'!$I$6))),"x",""))</f>
        <v/>
      </c>
      <c r="S966" s="55" t="str">
        <f>IF(ISERROR(FIND('112'!$M$9,G966,1)),"",IF((AND(LEFT(G966,2)=LEFT('112'!$M$9,2),B966&lt;'112'!$N$8,$L966='112'!$I$6)),"x",""))</f>
        <v/>
      </c>
      <c r="T966" s="55" t="str">
        <f>IF(ISERROR(FIND('112'!$M$9,G966,1)),"",IF((AND(RIGHT(G966,2)=RIGHT('112'!$M$9,2),B966&lt;'112'!$N$8,$M966='112'!$I$6)),"x",""))</f>
        <v/>
      </c>
      <c r="U966" s="55" t="str">
        <f>IF(AND('3411-CT'!$F$9=H966,OR(LEFT(L966,3)=$U$7,LEFT(M966,3)=$U$7)),"x","")</f>
        <v/>
      </c>
      <c r="V966" s="55" t="str">
        <f>IF(OR(TH!L966=TH!$V$7,M966=TH!$V$7),"x","")</f>
        <v/>
      </c>
      <c r="W966" s="55" t="str">
        <f>IF(AND(OR(L966="131",M966="131"),H966='131-CT'!$E$7),"x","")</f>
        <v/>
      </c>
      <c r="X966" s="55" t="str">
        <f>IF(AND(B966&gt;='IN-NX'!$P$3,B966&lt;='IN-NX'!$Q$3,'IN-NX'!$D$7=D966,OR(LEFT(TH!L966,2)="15",LEFT(TH!M966,2)="15")),"x","")</f>
        <v/>
      </c>
      <c r="Y966" s="55" t="str">
        <f>IF(AND(OR(LEFT(TH!L966,2)="15",LEFT(TH!M966,2)="15"),'152-CT'!$J$8=TH!F966),"x","")</f>
        <v/>
      </c>
      <c r="Z966" s="55" t="str">
        <f>IF(AND(OR(LEFT(TH!L966,2)="15",LEFT(TH!M966,2)="15"),TK!$E$7=TH!F966),"x","")</f>
        <v/>
      </c>
      <c r="AA966" s="55" t="str">
        <f>IF(AND(B966&lt;=NKC!$N$8,B966&gt;=NKC!$M$8),"x","")</f>
        <v/>
      </c>
    </row>
    <row r="967" spans="1:29" ht="15.75" customHeight="1">
      <c r="A967" s="219" t="str">
        <f>IF(B967&lt;&gt;"",IF(AND(B967&gt;=_TM1,B967&lt;=_TM2,OR(TH!L967="1111",TH!M967="1111")),TH!D967,""),"")</f>
        <v/>
      </c>
      <c r="B967" s="36">
        <f t="shared" si="42"/>
        <v>1</v>
      </c>
      <c r="C967" s="205">
        <f t="shared" si="40"/>
        <v>40922</v>
      </c>
      <c r="D967" s="205"/>
      <c r="E967" s="205">
        <v>40922</v>
      </c>
      <c r="F967" s="206" t="s">
        <v>1166</v>
      </c>
      <c r="G967" s="581" t="s">
        <v>1163</v>
      </c>
      <c r="H967" s="7" t="s">
        <v>1132</v>
      </c>
      <c r="I967" s="277">
        <v>500</v>
      </c>
      <c r="J967" s="277">
        <v>6680</v>
      </c>
      <c r="K967" s="698">
        <f t="shared" si="41"/>
        <v>3340000</v>
      </c>
      <c r="L967" s="208" t="s">
        <v>311</v>
      </c>
      <c r="M967" s="208" t="s">
        <v>208</v>
      </c>
      <c r="N967" s="55" t="str">
        <f>IF(AND('331-CT'!$E$7=TH!H967,OR(L967="331",M967="331")),"x","")</f>
        <v/>
      </c>
      <c r="O967" s="55" t="str">
        <f>IF(AND($B967&gt;='111'!$N$11,$B967&lt;='111'!$O$11,OR($L967=$O$7,$M967=$O$7)),"x","")</f>
        <v/>
      </c>
      <c r="P967" s="55" t="str">
        <f>IF(AND($L967=$O$7,$B967&lt;'111'!$N$11),"x","")</f>
        <v/>
      </c>
      <c r="Q967" s="55" t="str">
        <f>IF(AND($M967=$O$7,$B967&lt;'111'!$N$11),"x","")</f>
        <v/>
      </c>
      <c r="R967" s="55" t="str">
        <f>IF(ISERROR(FIND('112'!$M$9,G967,1)),"",IF((AND(FIND('112'!$M$9,G967,1)&gt;=1,$B967&gt;='112'!$N$8,$B967&lt;='112'!$O$8,OR($L967='112'!$I$6,$M967='112'!$I$6))),"x",""))</f>
        <v/>
      </c>
      <c r="S967" s="55" t="str">
        <f>IF(ISERROR(FIND('112'!$M$9,G967,1)),"",IF((AND(LEFT(G967,2)=LEFT('112'!$M$9,2),B967&lt;'112'!$N$8,$L967='112'!$I$6)),"x",""))</f>
        <v/>
      </c>
      <c r="T967" s="55" t="str">
        <f>IF(ISERROR(FIND('112'!$M$9,G967,1)),"",IF((AND(RIGHT(G967,2)=RIGHT('112'!$M$9,2),B967&lt;'112'!$N$8,$M967='112'!$I$6)),"x",""))</f>
        <v/>
      </c>
      <c r="U967" s="55" t="str">
        <f>IF(AND('3411-CT'!$F$9=H967,OR(LEFT(L967,3)=$U$7,LEFT(M967,3)=$U$7)),"x","")</f>
        <v/>
      </c>
      <c r="V967" s="55" t="str">
        <f>IF(OR(TH!L967=TH!$V$7,M967=TH!$V$7),"x","")</f>
        <v/>
      </c>
      <c r="W967" s="55" t="str">
        <f>IF(AND(OR(L967="131",M967="131"),H967='131-CT'!$E$7),"x","")</f>
        <v/>
      </c>
      <c r="X967" s="55" t="str">
        <f>IF(AND(B967&gt;='IN-NX'!$P$3,B967&lt;='IN-NX'!$Q$3,'IN-NX'!$D$7=D967,OR(LEFT(TH!L967,2)="15",LEFT(TH!M967,2)="15")),"x","")</f>
        <v/>
      </c>
      <c r="Y967" s="55" t="str">
        <f>IF(AND(OR(LEFT(TH!L967,2)="15",LEFT(TH!M967,2)="15"),'152-CT'!$J$8=TH!F967),"x","")</f>
        <v/>
      </c>
      <c r="Z967" s="55" t="str">
        <f>IF(AND(OR(LEFT(TH!L967,2)="15",LEFT(TH!M967,2)="15"),TK!$E$7=TH!F967),"x","")</f>
        <v/>
      </c>
      <c r="AA967" s="55" t="str">
        <f>IF(AND(B967&lt;=NKC!$N$8,B967&gt;=NKC!$M$8),"x","")</f>
        <v/>
      </c>
    </row>
    <row r="968" spans="1:29" ht="15.75" customHeight="1">
      <c r="A968" s="219" t="str">
        <f>IF(B968&lt;&gt;"",IF(AND(B968&gt;=_TM1,B968&lt;=_TM2,OR(TH!L968="1111",TH!M968="1111")),TH!D968,""),"")</f>
        <v/>
      </c>
      <c r="B968" s="36">
        <f t="shared" si="42"/>
        <v>1</v>
      </c>
      <c r="C968" s="205">
        <f t="shared" si="40"/>
        <v>40922</v>
      </c>
      <c r="D968" s="205"/>
      <c r="E968" s="205">
        <v>40922</v>
      </c>
      <c r="F968" s="206" t="s">
        <v>1155</v>
      </c>
      <c r="G968" s="581" t="s">
        <v>1163</v>
      </c>
      <c r="H968" s="7" t="s">
        <v>1132</v>
      </c>
      <c r="I968" s="277"/>
      <c r="J968" s="277"/>
      <c r="K968" s="698">
        <v>1693896</v>
      </c>
      <c r="L968" s="208" t="s">
        <v>311</v>
      </c>
      <c r="M968" s="208" t="s">
        <v>549</v>
      </c>
      <c r="N968" s="55" t="str">
        <f>IF(AND('331-CT'!$E$7=TH!H968,OR(L968="331",M968="331")),"x","")</f>
        <v/>
      </c>
      <c r="O968" s="55" t="str">
        <f>IF(AND($B968&gt;='111'!$N$11,$B968&lt;='111'!$O$11,OR($L968=$O$7,$M968=$O$7)),"x","")</f>
        <v/>
      </c>
      <c r="P968" s="55" t="str">
        <f>IF(AND($L968=$O$7,$B968&lt;'111'!$N$11),"x","")</f>
        <v/>
      </c>
      <c r="Q968" s="55" t="str">
        <f>IF(AND($M968=$O$7,$B968&lt;'111'!$N$11),"x","")</f>
        <v/>
      </c>
      <c r="R968" s="55" t="str">
        <f>IF(ISERROR(FIND('112'!$M$9,G968,1)),"",IF((AND(FIND('112'!$M$9,G968,1)&gt;=1,$B968&gt;='112'!$N$8,$B968&lt;='112'!$O$8,OR($L968='112'!$I$6,$M968='112'!$I$6))),"x",""))</f>
        <v/>
      </c>
      <c r="S968" s="55" t="str">
        <f>IF(ISERROR(FIND('112'!$M$9,G968,1)),"",IF((AND(LEFT(G968,2)=LEFT('112'!$M$9,2),B968&lt;'112'!$N$8,$L968='112'!$I$6)),"x",""))</f>
        <v/>
      </c>
      <c r="T968" s="55" t="str">
        <f>IF(ISERROR(FIND('112'!$M$9,G968,1)),"",IF((AND(RIGHT(G968,2)=RIGHT('112'!$M$9,2),B968&lt;'112'!$N$8,$M968='112'!$I$6)),"x",""))</f>
        <v/>
      </c>
      <c r="U968" s="55" t="str">
        <f>IF(AND('3411-CT'!$F$9=H968,OR(LEFT(L968,3)=$U$7,LEFT(M968,3)=$U$7)),"x","")</f>
        <v/>
      </c>
      <c r="V968" s="55" t="str">
        <f>IF(OR(TH!L968=TH!$V$7,M968=TH!$V$7),"x","")</f>
        <v/>
      </c>
      <c r="W968" s="55" t="str">
        <f>IF(AND(OR(L968="131",M968="131"),H968='131-CT'!$E$7),"x","")</f>
        <v/>
      </c>
      <c r="X968" s="55" t="str">
        <f>IF(AND(B968&gt;='IN-NX'!$P$3,B968&lt;='IN-NX'!$Q$3,'IN-NX'!$D$7=D968,OR(LEFT(TH!L968,2)="15",LEFT(TH!M968,2)="15")),"x","")</f>
        <v/>
      </c>
      <c r="Y968" s="55" t="str">
        <f>IF(AND(OR(LEFT(TH!L968,2)="15",LEFT(TH!M968,2)="15"),'152-CT'!$J$8=TH!F968),"x","")</f>
        <v/>
      </c>
      <c r="Z968" s="55" t="str">
        <f>IF(AND(OR(LEFT(TH!L968,2)="15",LEFT(TH!M968,2)="15"),TK!$E$7=TH!F968),"x","")</f>
        <v/>
      </c>
      <c r="AA968" s="55" t="str">
        <f>IF(AND(B968&lt;=NKC!$N$8,B968&gt;=NKC!$M$8),"x","")</f>
        <v/>
      </c>
      <c r="AC968" s="226"/>
    </row>
    <row r="969" spans="1:29" ht="15.75" customHeight="1">
      <c r="A969" s="219" t="str">
        <f>IF(B969&lt;&gt;"",IF(AND(B969&gt;=_TM1,B969&lt;=_TM2,OR(TH!L969="1111",TH!M969="1111")),TH!D969,""),"")</f>
        <v/>
      </c>
      <c r="B969" s="36">
        <f t="shared" si="42"/>
        <v>1</v>
      </c>
      <c r="C969" s="205">
        <f t="shared" si="40"/>
        <v>40924</v>
      </c>
      <c r="D969" s="205"/>
      <c r="E969" s="205">
        <v>40924</v>
      </c>
      <c r="F969" s="206" t="s">
        <v>1167</v>
      </c>
      <c r="G969" s="581" t="s">
        <v>1168</v>
      </c>
      <c r="H969" s="207" t="s">
        <v>1133</v>
      </c>
      <c r="I969" s="277">
        <v>5</v>
      </c>
      <c r="J969" s="277">
        <v>36500</v>
      </c>
      <c r="K969" s="698">
        <f t="shared" si="41"/>
        <v>182500</v>
      </c>
      <c r="L969" s="208" t="s">
        <v>311</v>
      </c>
      <c r="M969" s="208" t="s">
        <v>208</v>
      </c>
      <c r="N969" s="55" t="str">
        <f>IF(AND('331-CT'!$E$7=TH!H969,OR(L969="331",M969="331")),"x","")</f>
        <v/>
      </c>
      <c r="O969" s="55" t="str">
        <f>IF(AND($B969&gt;='111'!$N$11,$B969&lt;='111'!$O$11,OR($L969=$O$7,$M969=$O$7)),"x","")</f>
        <v/>
      </c>
      <c r="P969" s="55" t="str">
        <f>IF(AND($L969=$O$7,$B969&lt;'111'!$N$11),"x","")</f>
        <v/>
      </c>
      <c r="Q969" s="55" t="str">
        <f>IF(AND($M969=$O$7,$B969&lt;'111'!$N$11),"x","")</f>
        <v/>
      </c>
      <c r="R969" s="55" t="str">
        <f>IF(ISERROR(FIND('112'!$M$9,G969,1)),"",IF((AND(FIND('112'!$M$9,G969,1)&gt;=1,$B969&gt;='112'!$N$8,$B969&lt;='112'!$O$8,OR($L969='112'!$I$6,$M969='112'!$I$6))),"x",""))</f>
        <v/>
      </c>
      <c r="S969" s="55" t="str">
        <f>IF(ISERROR(FIND('112'!$M$9,G969,1)),"",IF((AND(LEFT(G969,2)=LEFT('112'!$M$9,2),B969&lt;'112'!$N$8,$L969='112'!$I$6)),"x",""))</f>
        <v/>
      </c>
      <c r="T969" s="55" t="str">
        <f>IF(ISERROR(FIND('112'!$M$9,G969,1)),"",IF((AND(RIGHT(G969,2)=RIGHT('112'!$M$9,2),B969&lt;'112'!$N$8,$M969='112'!$I$6)),"x",""))</f>
        <v/>
      </c>
      <c r="U969" s="55" t="str">
        <f>IF(AND('3411-CT'!$F$9=H969,OR(LEFT(L969,3)=$U$7,LEFT(M969,3)=$U$7)),"x","")</f>
        <v/>
      </c>
      <c r="V969" s="55" t="str">
        <f>IF(OR(TH!L969=TH!$V$7,M969=TH!$V$7),"x","")</f>
        <v/>
      </c>
      <c r="W969" s="55" t="str">
        <f>IF(AND(OR(L969="131",M969="131"),H969='131-CT'!$E$7),"x","")</f>
        <v/>
      </c>
      <c r="X969" s="55" t="str">
        <f>IF(AND(B969&gt;='IN-NX'!$P$3,B969&lt;='IN-NX'!$Q$3,'IN-NX'!$D$7=D969,OR(LEFT(TH!L969,2)="15",LEFT(TH!M969,2)="15")),"x","")</f>
        <v/>
      </c>
      <c r="Y969" s="55" t="str">
        <f>IF(AND(OR(LEFT(TH!L969,2)="15",LEFT(TH!M969,2)="15"),'152-CT'!$J$8=TH!F969),"x","")</f>
        <v/>
      </c>
      <c r="Z969" s="55" t="str">
        <f>IF(AND(OR(LEFT(TH!L969,2)="15",LEFT(TH!M969,2)="15"),TK!$E$7=TH!F969),"x","")</f>
        <v/>
      </c>
      <c r="AA969" s="55" t="str">
        <f>IF(AND(B969&lt;=NKC!$N$8,B969&gt;=NKC!$M$8),"x","")</f>
        <v/>
      </c>
    </row>
    <row r="970" spans="1:29" ht="15.75" customHeight="1">
      <c r="A970" s="219" t="str">
        <f>IF(B970&lt;&gt;"",IF(AND(B970&gt;=_TM1,B970&lt;=_TM2,OR(TH!L970="1111",TH!M970="1111")),TH!D970,""),"")</f>
        <v/>
      </c>
      <c r="B970" s="36">
        <f t="shared" si="42"/>
        <v>1</v>
      </c>
      <c r="C970" s="205">
        <f t="shared" si="40"/>
        <v>40924</v>
      </c>
      <c r="D970" s="205"/>
      <c r="E970" s="205">
        <v>40924</v>
      </c>
      <c r="F970" s="206" t="s">
        <v>1149</v>
      </c>
      <c r="G970" s="581" t="s">
        <v>1168</v>
      </c>
      <c r="H970" s="207" t="s">
        <v>1133</v>
      </c>
      <c r="I970" s="277">
        <v>1</v>
      </c>
      <c r="J970" s="277">
        <v>18800</v>
      </c>
      <c r="K970" s="698">
        <f t="shared" si="41"/>
        <v>18800</v>
      </c>
      <c r="L970" s="208" t="s">
        <v>311</v>
      </c>
      <c r="M970" s="208" t="s">
        <v>208</v>
      </c>
      <c r="N970" s="55" t="str">
        <f>IF(AND('331-CT'!$E$7=TH!H970,OR(L970="331",M970="331")),"x","")</f>
        <v/>
      </c>
      <c r="O970" s="55" t="str">
        <f>IF(AND($B970&gt;='111'!$N$11,$B970&lt;='111'!$O$11,OR($L970=$O$7,$M970=$O$7)),"x","")</f>
        <v/>
      </c>
      <c r="P970" s="55" t="str">
        <f>IF(AND($L970=$O$7,$B970&lt;'111'!$N$11),"x","")</f>
        <v/>
      </c>
      <c r="Q970" s="55" t="str">
        <f>IF(AND($M970=$O$7,$B970&lt;'111'!$N$11),"x","")</f>
        <v/>
      </c>
      <c r="R970" s="55" t="str">
        <f>IF(ISERROR(FIND('112'!$M$9,G970,1)),"",IF((AND(FIND('112'!$M$9,G970,1)&gt;=1,$B970&gt;='112'!$N$8,$B970&lt;='112'!$O$8,OR($L970='112'!$I$6,$M970='112'!$I$6))),"x",""))</f>
        <v/>
      </c>
      <c r="S970" s="55" t="str">
        <f>IF(ISERROR(FIND('112'!$M$9,G970,1)),"",IF((AND(LEFT(G970,2)=LEFT('112'!$M$9,2),B970&lt;'112'!$N$8,$L970='112'!$I$6)),"x",""))</f>
        <v/>
      </c>
      <c r="T970" s="55" t="str">
        <f>IF(ISERROR(FIND('112'!$M$9,G970,1)),"",IF((AND(RIGHT(G970,2)=RIGHT('112'!$M$9,2),B970&lt;'112'!$N$8,$M970='112'!$I$6)),"x",""))</f>
        <v/>
      </c>
      <c r="U970" s="55" t="str">
        <f>IF(AND('3411-CT'!$F$9=H970,OR(LEFT(L970,3)=$U$7,LEFT(M970,3)=$U$7)),"x","")</f>
        <v/>
      </c>
      <c r="V970" s="55" t="str">
        <f>IF(OR(TH!L970=TH!$V$7,M970=TH!$V$7),"x","")</f>
        <v/>
      </c>
      <c r="W970" s="55" t="str">
        <f>IF(AND(OR(L970="131",M970="131"),H970='131-CT'!$E$7),"x","")</f>
        <v/>
      </c>
      <c r="X970" s="55" t="str">
        <f>IF(AND(B970&gt;='IN-NX'!$P$3,B970&lt;='IN-NX'!$Q$3,'IN-NX'!$D$7=D970,OR(LEFT(TH!L970,2)="15",LEFT(TH!M970,2)="15")),"x","")</f>
        <v/>
      </c>
      <c r="Y970" s="55" t="str">
        <f>IF(AND(OR(LEFT(TH!L970,2)="15",LEFT(TH!M970,2)="15"),'152-CT'!$J$8=TH!F970),"x","")</f>
        <v/>
      </c>
      <c r="Z970" s="55" t="str">
        <f>IF(AND(OR(LEFT(TH!L970,2)="15",LEFT(TH!M970,2)="15"),TK!$E$7=TH!F970),"x","")</f>
        <v/>
      </c>
      <c r="AA970" s="55" t="str">
        <f>IF(AND(B970&lt;=NKC!$N$8,B970&gt;=NKC!$M$8),"x","")</f>
        <v/>
      </c>
    </row>
    <row r="971" spans="1:29" ht="15.75" customHeight="1">
      <c r="A971" s="219" t="str">
        <f>IF(B971&lt;&gt;"",IF(AND(B971&gt;=_TM1,B971&lt;=_TM2,OR(TH!L971="1111",TH!M971="1111")),TH!D971,""),"")</f>
        <v/>
      </c>
      <c r="B971" s="36">
        <f t="shared" si="42"/>
        <v>1</v>
      </c>
      <c r="C971" s="205">
        <f t="shared" si="40"/>
        <v>40924</v>
      </c>
      <c r="D971" s="205"/>
      <c r="E971" s="205">
        <v>40924</v>
      </c>
      <c r="F971" s="206" t="s">
        <v>1152</v>
      </c>
      <c r="G971" s="581" t="s">
        <v>1168</v>
      </c>
      <c r="H971" s="207" t="s">
        <v>1133</v>
      </c>
      <c r="I971" s="277">
        <v>1</v>
      </c>
      <c r="J971" s="277">
        <v>36700</v>
      </c>
      <c r="K971" s="698">
        <f t="shared" si="41"/>
        <v>36700</v>
      </c>
      <c r="L971" s="208" t="s">
        <v>311</v>
      </c>
      <c r="M971" s="208" t="s">
        <v>208</v>
      </c>
      <c r="N971" s="55" t="str">
        <f>IF(AND('331-CT'!$E$7=TH!H971,OR(L971="331",M971="331")),"x","")</f>
        <v/>
      </c>
      <c r="O971" s="55" t="str">
        <f>IF(AND($B971&gt;='111'!$N$11,$B971&lt;='111'!$O$11,OR($L971=$O$7,$M971=$O$7)),"x","")</f>
        <v/>
      </c>
      <c r="P971" s="55" t="str">
        <f>IF(AND($L971=$O$7,$B971&lt;'111'!$N$11),"x","")</f>
        <v/>
      </c>
      <c r="Q971" s="55" t="str">
        <f>IF(AND($M971=$O$7,$B971&lt;'111'!$N$11),"x","")</f>
        <v/>
      </c>
      <c r="R971" s="55" t="str">
        <f>IF(ISERROR(FIND('112'!$M$9,G971,1)),"",IF((AND(FIND('112'!$M$9,G971,1)&gt;=1,$B971&gt;='112'!$N$8,$B971&lt;='112'!$O$8,OR($L971='112'!$I$6,$M971='112'!$I$6))),"x",""))</f>
        <v/>
      </c>
      <c r="S971" s="55" t="str">
        <f>IF(ISERROR(FIND('112'!$M$9,G971,1)),"",IF((AND(LEFT(G971,2)=LEFT('112'!$M$9,2),B971&lt;'112'!$N$8,$L971='112'!$I$6)),"x",""))</f>
        <v/>
      </c>
      <c r="T971" s="55" t="str">
        <f>IF(ISERROR(FIND('112'!$M$9,G971,1)),"",IF((AND(RIGHT(G971,2)=RIGHT('112'!$M$9,2),B971&lt;'112'!$N$8,$M971='112'!$I$6)),"x",""))</f>
        <v/>
      </c>
      <c r="U971" s="55" t="str">
        <f>IF(AND('3411-CT'!$F$9=H971,OR(LEFT(L971,3)=$U$7,LEFT(M971,3)=$U$7)),"x","")</f>
        <v/>
      </c>
      <c r="V971" s="55" t="str">
        <f>IF(OR(TH!L971=TH!$V$7,M971=TH!$V$7),"x","")</f>
        <v/>
      </c>
      <c r="W971" s="55" t="str">
        <f>IF(AND(OR(L971="131",M971="131"),H971='131-CT'!$E$7),"x","")</f>
        <v/>
      </c>
      <c r="X971" s="55" t="str">
        <f>IF(AND(B971&gt;='IN-NX'!$P$3,B971&lt;='IN-NX'!$Q$3,'IN-NX'!$D$7=D971,OR(LEFT(TH!L971,2)="15",LEFT(TH!M971,2)="15")),"x","")</f>
        <v/>
      </c>
      <c r="Y971" s="55" t="str">
        <f>IF(AND(OR(LEFT(TH!L971,2)="15",LEFT(TH!M971,2)="15"),'152-CT'!$J$8=TH!F971),"x","")</f>
        <v/>
      </c>
      <c r="Z971" s="55" t="str">
        <f>IF(AND(OR(LEFT(TH!L971,2)="15",LEFT(TH!M971,2)="15"),TK!$E$7=TH!F971),"x","")</f>
        <v/>
      </c>
      <c r="AA971" s="55" t="str">
        <f>IF(AND(B971&lt;=NKC!$N$8,B971&gt;=NKC!$M$8),"x","")</f>
        <v/>
      </c>
    </row>
    <row r="972" spans="1:29" ht="15.75" customHeight="1">
      <c r="A972" s="219" t="str">
        <f>IF(B972&lt;&gt;"",IF(AND(B972&gt;=_TM1,B972&lt;=_TM2,OR(TH!L972="1111",TH!M972="1111")),TH!D972,""),"")</f>
        <v/>
      </c>
      <c r="B972" s="36">
        <f t="shared" si="42"/>
        <v>1</v>
      </c>
      <c r="C972" s="205">
        <f t="shared" si="40"/>
        <v>40924</v>
      </c>
      <c r="D972" s="205"/>
      <c r="E972" s="205">
        <v>40924</v>
      </c>
      <c r="F972" s="206" t="s">
        <v>1169</v>
      </c>
      <c r="G972" s="581" t="s">
        <v>1168</v>
      </c>
      <c r="H972" s="207" t="s">
        <v>1133</v>
      </c>
      <c r="I972" s="277">
        <v>120</v>
      </c>
      <c r="J972" s="277">
        <v>29400</v>
      </c>
      <c r="K972" s="698">
        <f t="shared" si="41"/>
        <v>3528000</v>
      </c>
      <c r="L972" s="208" t="s">
        <v>311</v>
      </c>
      <c r="M972" s="208" t="s">
        <v>208</v>
      </c>
      <c r="N972" s="55" t="str">
        <f>IF(AND('331-CT'!$E$7=TH!H972,OR(L972="331",M972="331")),"x","")</f>
        <v/>
      </c>
      <c r="O972" s="55" t="str">
        <f>IF(AND($B972&gt;='111'!$N$11,$B972&lt;='111'!$O$11,OR($L972=$O$7,$M972=$O$7)),"x","")</f>
        <v/>
      </c>
      <c r="P972" s="55" t="str">
        <f>IF(AND($L972=$O$7,$B972&lt;'111'!$N$11),"x","")</f>
        <v/>
      </c>
      <c r="Q972" s="55" t="str">
        <f>IF(AND($M972=$O$7,$B972&lt;'111'!$N$11),"x","")</f>
        <v/>
      </c>
      <c r="R972" s="55" t="str">
        <f>IF(ISERROR(FIND('112'!$M$9,G972,1)),"",IF((AND(FIND('112'!$M$9,G972,1)&gt;=1,$B972&gt;='112'!$N$8,$B972&lt;='112'!$O$8,OR($L972='112'!$I$6,$M972='112'!$I$6))),"x",""))</f>
        <v/>
      </c>
      <c r="S972" s="55" t="str">
        <f>IF(ISERROR(FIND('112'!$M$9,G972,1)),"",IF((AND(LEFT(G972,2)=LEFT('112'!$M$9,2),B972&lt;'112'!$N$8,$L972='112'!$I$6)),"x",""))</f>
        <v/>
      </c>
      <c r="T972" s="55" t="str">
        <f>IF(ISERROR(FIND('112'!$M$9,G972,1)),"",IF((AND(RIGHT(G972,2)=RIGHT('112'!$M$9,2),B972&lt;'112'!$N$8,$M972='112'!$I$6)),"x",""))</f>
        <v/>
      </c>
      <c r="U972" s="55" t="str">
        <f>IF(AND('3411-CT'!$F$9=H972,OR(LEFT(L972,3)=$U$7,LEFT(M972,3)=$U$7)),"x","")</f>
        <v/>
      </c>
      <c r="V972" s="55" t="str">
        <f>IF(OR(TH!L972=TH!$V$7,M972=TH!$V$7),"x","")</f>
        <v/>
      </c>
      <c r="W972" s="55" t="str">
        <f>IF(AND(OR(L972="131",M972="131"),H972='131-CT'!$E$7),"x","")</f>
        <v/>
      </c>
      <c r="X972" s="55" t="str">
        <f>IF(AND(B972&gt;='IN-NX'!$P$3,B972&lt;='IN-NX'!$Q$3,'IN-NX'!$D$7=D972,OR(LEFT(TH!L972,2)="15",LEFT(TH!M972,2)="15")),"x","")</f>
        <v/>
      </c>
      <c r="Y972" s="55" t="str">
        <f>IF(AND(OR(LEFT(TH!L972,2)="15",LEFT(TH!M972,2)="15"),'152-CT'!$J$8=TH!F972),"x","")</f>
        <v/>
      </c>
      <c r="Z972" s="55" t="str">
        <f>IF(AND(OR(LEFT(TH!L972,2)="15",LEFT(TH!M972,2)="15"),TK!$E$7=TH!F972),"x","")</f>
        <v/>
      </c>
      <c r="AA972" s="55" t="str">
        <f>IF(AND(B972&lt;=NKC!$N$8,B972&gt;=NKC!$M$8),"x","")</f>
        <v/>
      </c>
    </row>
    <row r="973" spans="1:29" ht="15.75" customHeight="1">
      <c r="A973" s="219" t="str">
        <f>IF(B973&lt;&gt;"",IF(AND(B973&gt;=_TM1,B973&lt;=_TM2,OR(TH!L973="1111",TH!M973="1111")),TH!D973,""),"")</f>
        <v/>
      </c>
      <c r="B973" s="36">
        <f t="shared" si="42"/>
        <v>1</v>
      </c>
      <c r="C973" s="205">
        <f t="shared" si="40"/>
        <v>40924</v>
      </c>
      <c r="D973" s="205"/>
      <c r="E973" s="205">
        <v>40924</v>
      </c>
      <c r="F973" s="206" t="s">
        <v>1170</v>
      </c>
      <c r="G973" s="581" t="s">
        <v>1168</v>
      </c>
      <c r="H973" s="207" t="s">
        <v>1133</v>
      </c>
      <c r="I973" s="277">
        <v>420</v>
      </c>
      <c r="J973" s="277">
        <v>2300</v>
      </c>
      <c r="K973" s="698">
        <f t="shared" si="41"/>
        <v>966000</v>
      </c>
      <c r="L973" s="208" t="s">
        <v>311</v>
      </c>
      <c r="M973" s="208" t="s">
        <v>208</v>
      </c>
      <c r="N973" s="55" t="str">
        <f>IF(AND('331-CT'!$E$7=TH!H973,OR(L973="331",M973="331")),"x","")</f>
        <v/>
      </c>
      <c r="O973" s="55" t="str">
        <f>IF(AND($B973&gt;='111'!$N$11,$B973&lt;='111'!$O$11,OR($L973=$O$7,$M973=$O$7)),"x","")</f>
        <v/>
      </c>
      <c r="P973" s="55" t="str">
        <f>IF(AND($L973=$O$7,$B973&lt;'111'!$N$11),"x","")</f>
        <v/>
      </c>
      <c r="Q973" s="55" t="str">
        <f>IF(AND($M973=$O$7,$B973&lt;'111'!$N$11),"x","")</f>
        <v/>
      </c>
      <c r="R973" s="55" t="str">
        <f>IF(ISERROR(FIND('112'!$M$9,G973,1)),"",IF((AND(FIND('112'!$M$9,G973,1)&gt;=1,$B973&gt;='112'!$N$8,$B973&lt;='112'!$O$8,OR($L973='112'!$I$6,$M973='112'!$I$6))),"x",""))</f>
        <v/>
      </c>
      <c r="S973" s="55" t="str">
        <f>IF(ISERROR(FIND('112'!$M$9,G973,1)),"",IF((AND(LEFT(G973,2)=LEFT('112'!$M$9,2),B973&lt;'112'!$N$8,$L973='112'!$I$6)),"x",""))</f>
        <v/>
      </c>
      <c r="T973" s="55" t="str">
        <f>IF(ISERROR(FIND('112'!$M$9,G973,1)),"",IF((AND(RIGHT(G973,2)=RIGHT('112'!$M$9,2),B973&lt;'112'!$N$8,$M973='112'!$I$6)),"x",""))</f>
        <v/>
      </c>
      <c r="U973" s="55" t="str">
        <f>IF(AND('3411-CT'!$F$9=H973,OR(LEFT(L973,3)=$U$7,LEFT(M973,3)=$U$7)),"x","")</f>
        <v/>
      </c>
      <c r="V973" s="55" t="str">
        <f>IF(OR(TH!L973=TH!$V$7,M973=TH!$V$7),"x","")</f>
        <v/>
      </c>
      <c r="W973" s="55" t="str">
        <f>IF(AND(OR(L973="131",M973="131"),H973='131-CT'!$E$7),"x","")</f>
        <v/>
      </c>
      <c r="X973" s="55" t="str">
        <f>IF(AND(B973&gt;='IN-NX'!$P$3,B973&lt;='IN-NX'!$Q$3,'IN-NX'!$D$7=D973,OR(LEFT(TH!L973,2)="15",LEFT(TH!M973,2)="15")),"x","")</f>
        <v/>
      </c>
      <c r="Y973" s="55" t="str">
        <f>IF(AND(OR(LEFT(TH!L973,2)="15",LEFT(TH!M973,2)="15"),'152-CT'!$J$8=TH!F973),"x","")</f>
        <v/>
      </c>
      <c r="Z973" s="55" t="str">
        <f>IF(AND(OR(LEFT(TH!L973,2)="15",LEFT(TH!M973,2)="15"),TK!$E$7=TH!F973),"x","")</f>
        <v/>
      </c>
      <c r="AA973" s="55" t="str">
        <f>IF(AND(B973&lt;=NKC!$N$8,B973&gt;=NKC!$M$8),"x","")</f>
        <v/>
      </c>
    </row>
    <row r="974" spans="1:29" ht="15.75" customHeight="1">
      <c r="A974" s="219" t="str">
        <f>IF(B974&lt;&gt;"",IF(AND(B974&gt;=_TM1,B974&lt;=_TM2,OR(TH!L974="1111",TH!M974="1111")),TH!D974,""),"")</f>
        <v/>
      </c>
      <c r="B974" s="36">
        <f t="shared" si="42"/>
        <v>1</v>
      </c>
      <c r="C974" s="205">
        <f t="shared" si="40"/>
        <v>40924</v>
      </c>
      <c r="D974" s="205"/>
      <c r="E974" s="205">
        <v>40924</v>
      </c>
      <c r="F974" s="206" t="s">
        <v>1171</v>
      </c>
      <c r="G974" s="581" t="s">
        <v>1168</v>
      </c>
      <c r="H974" s="207" t="s">
        <v>1133</v>
      </c>
      <c r="I974" s="277">
        <v>90</v>
      </c>
      <c r="J974" s="277">
        <v>29400</v>
      </c>
      <c r="K974" s="698">
        <f t="shared" si="41"/>
        <v>2646000</v>
      </c>
      <c r="L974" s="208" t="s">
        <v>311</v>
      </c>
      <c r="M974" s="208" t="s">
        <v>208</v>
      </c>
      <c r="N974" s="55" t="str">
        <f>IF(AND('331-CT'!$E$7=TH!H974,OR(L974="331",M974="331")),"x","")</f>
        <v/>
      </c>
      <c r="O974" s="55" t="str">
        <f>IF(AND($B974&gt;='111'!$N$11,$B974&lt;='111'!$O$11,OR($L974=$O$7,$M974=$O$7)),"x","")</f>
        <v/>
      </c>
      <c r="P974" s="55" t="str">
        <f>IF(AND($L974=$O$7,$B974&lt;'111'!$N$11),"x","")</f>
        <v/>
      </c>
      <c r="Q974" s="55" t="str">
        <f>IF(AND($M974=$O$7,$B974&lt;'111'!$N$11),"x","")</f>
        <v/>
      </c>
      <c r="R974" s="55" t="str">
        <f>IF(ISERROR(FIND('112'!$M$9,G974,1)),"",IF((AND(FIND('112'!$M$9,G974,1)&gt;=1,$B974&gt;='112'!$N$8,$B974&lt;='112'!$O$8,OR($L974='112'!$I$6,$M974='112'!$I$6))),"x",""))</f>
        <v/>
      </c>
      <c r="S974" s="55" t="str">
        <f>IF(ISERROR(FIND('112'!$M$9,G974,1)),"",IF((AND(LEFT(G974,2)=LEFT('112'!$M$9,2),B974&lt;'112'!$N$8,$L974='112'!$I$6)),"x",""))</f>
        <v/>
      </c>
      <c r="T974" s="55" t="str">
        <f>IF(ISERROR(FIND('112'!$M$9,G974,1)),"",IF((AND(RIGHT(G974,2)=RIGHT('112'!$M$9,2),B974&lt;'112'!$N$8,$M974='112'!$I$6)),"x",""))</f>
        <v/>
      </c>
      <c r="U974" s="55" t="str">
        <f>IF(AND('3411-CT'!$F$9=H974,OR(LEFT(L974,3)=$U$7,LEFT(M974,3)=$U$7)),"x","")</f>
        <v/>
      </c>
      <c r="V974" s="55" t="str">
        <f>IF(OR(TH!L974=TH!$V$7,M974=TH!$V$7),"x","")</f>
        <v/>
      </c>
      <c r="W974" s="55" t="str">
        <f>IF(AND(OR(L974="131",M974="131"),H974='131-CT'!$E$7),"x","")</f>
        <v/>
      </c>
      <c r="X974" s="55" t="str">
        <f>IF(AND(B974&gt;='IN-NX'!$P$3,B974&lt;='IN-NX'!$Q$3,'IN-NX'!$D$7=D974,OR(LEFT(TH!L974,2)="15",LEFT(TH!M974,2)="15")),"x","")</f>
        <v/>
      </c>
      <c r="Y974" s="55" t="str">
        <f>IF(AND(OR(LEFT(TH!L974,2)="15",LEFT(TH!M974,2)="15"),'152-CT'!$J$8=TH!F974),"x","")</f>
        <v/>
      </c>
      <c r="Z974" s="55" t="str">
        <f>IF(AND(OR(LEFT(TH!L974,2)="15",LEFT(TH!M974,2)="15"),TK!$E$7=TH!F974),"x","")</f>
        <v/>
      </c>
      <c r="AA974" s="55" t="str">
        <f>IF(AND(B974&lt;=NKC!$N$8,B974&gt;=NKC!$M$8),"x","")</f>
        <v/>
      </c>
    </row>
    <row r="975" spans="1:29" ht="15.75" customHeight="1">
      <c r="A975" s="219" t="str">
        <f>IF(B975&lt;&gt;"",IF(AND(B975&gt;=_TM1,B975&lt;=_TM2,OR(TH!L975="1111",TH!M975="1111")),TH!D975,""),"")</f>
        <v/>
      </c>
      <c r="B975" s="36">
        <f t="shared" si="42"/>
        <v>1</v>
      </c>
      <c r="C975" s="205">
        <f t="shared" si="40"/>
        <v>40924</v>
      </c>
      <c r="D975" s="205"/>
      <c r="E975" s="205">
        <v>40924</v>
      </c>
      <c r="F975" s="206" t="s">
        <v>1172</v>
      </c>
      <c r="G975" s="581" t="s">
        <v>1168</v>
      </c>
      <c r="H975" s="207" t="s">
        <v>1133</v>
      </c>
      <c r="I975" s="277">
        <v>90</v>
      </c>
      <c r="J975" s="277">
        <v>36700</v>
      </c>
      <c r="K975" s="698">
        <f t="shared" si="41"/>
        <v>3303000</v>
      </c>
      <c r="L975" s="208" t="s">
        <v>311</v>
      </c>
      <c r="M975" s="208" t="s">
        <v>208</v>
      </c>
      <c r="N975" s="55" t="str">
        <f>IF(AND('331-CT'!$E$7=TH!H975,OR(L975="331",M975="331")),"x","")</f>
        <v/>
      </c>
      <c r="O975" s="55" t="str">
        <f>IF(AND($B975&gt;='111'!$N$11,$B975&lt;='111'!$O$11,OR($L975=$O$7,$M975=$O$7)),"x","")</f>
        <v/>
      </c>
      <c r="P975" s="55" t="str">
        <f>IF(AND($L975=$O$7,$B975&lt;'111'!$N$11),"x","")</f>
        <v/>
      </c>
      <c r="Q975" s="55" t="str">
        <f>IF(AND($M975=$O$7,$B975&lt;'111'!$N$11),"x","")</f>
        <v/>
      </c>
      <c r="R975" s="55" t="str">
        <f>IF(ISERROR(FIND('112'!$M$9,G975,1)),"",IF((AND(FIND('112'!$M$9,G975,1)&gt;=1,$B975&gt;='112'!$N$8,$B975&lt;='112'!$O$8,OR($L975='112'!$I$6,$M975='112'!$I$6))),"x",""))</f>
        <v/>
      </c>
      <c r="S975" s="55" t="str">
        <f>IF(ISERROR(FIND('112'!$M$9,G975,1)),"",IF((AND(LEFT(G975,2)=LEFT('112'!$M$9,2),B975&lt;'112'!$N$8,$L975='112'!$I$6)),"x",""))</f>
        <v/>
      </c>
      <c r="T975" s="55" t="str">
        <f>IF(ISERROR(FIND('112'!$M$9,G975,1)),"",IF((AND(RIGHT(G975,2)=RIGHT('112'!$M$9,2),B975&lt;'112'!$N$8,$M975='112'!$I$6)),"x",""))</f>
        <v/>
      </c>
      <c r="U975" s="55" t="str">
        <f>IF(AND('3411-CT'!$F$9=H975,OR(LEFT(L975,3)=$U$7,LEFT(M975,3)=$U$7)),"x","")</f>
        <v/>
      </c>
      <c r="V975" s="55" t="str">
        <f>IF(OR(TH!L975=TH!$V$7,M975=TH!$V$7),"x","")</f>
        <v/>
      </c>
      <c r="W975" s="55" t="str">
        <f>IF(AND(OR(L975="131",M975="131"),H975='131-CT'!$E$7),"x","")</f>
        <v/>
      </c>
      <c r="X975" s="55" t="str">
        <f>IF(AND(B975&gt;='IN-NX'!$P$3,B975&lt;='IN-NX'!$Q$3,'IN-NX'!$D$7=D975,OR(LEFT(TH!L975,2)="15",LEFT(TH!M975,2)="15")),"x","")</f>
        <v/>
      </c>
      <c r="Y975" s="55" t="str">
        <f>IF(AND(OR(LEFT(TH!L975,2)="15",LEFT(TH!M975,2)="15"),'152-CT'!$J$8=TH!F975),"x","")</f>
        <v/>
      </c>
      <c r="Z975" s="55" t="str">
        <f>IF(AND(OR(LEFT(TH!L975,2)="15",LEFT(TH!M975,2)="15"),TK!$E$7=TH!F975),"x","")</f>
        <v/>
      </c>
      <c r="AA975" s="55" t="str">
        <f>IF(AND(B975&lt;=NKC!$N$8,B975&gt;=NKC!$M$8),"x","")</f>
        <v/>
      </c>
    </row>
    <row r="976" spans="1:29" ht="15.75" customHeight="1">
      <c r="A976" s="219" t="str">
        <f>IF(B976&lt;&gt;"",IF(AND(B976&gt;=_TM1,B976&lt;=_TM2,OR(TH!L976="1111",TH!M976="1111")),TH!D976,""),"")</f>
        <v/>
      </c>
      <c r="B976" s="36">
        <f t="shared" si="42"/>
        <v>1</v>
      </c>
      <c r="C976" s="205">
        <f t="shared" si="40"/>
        <v>40924</v>
      </c>
      <c r="D976" s="205"/>
      <c r="E976" s="205">
        <v>40924</v>
      </c>
      <c r="F976" s="206" t="s">
        <v>1173</v>
      </c>
      <c r="G976" s="581" t="s">
        <v>1168</v>
      </c>
      <c r="H976" s="207" t="s">
        <v>1133</v>
      </c>
      <c r="I976" s="277">
        <v>180</v>
      </c>
      <c r="J976" s="277">
        <v>2900</v>
      </c>
      <c r="K976" s="698">
        <f t="shared" si="41"/>
        <v>522000</v>
      </c>
      <c r="L976" s="208" t="s">
        <v>311</v>
      </c>
      <c r="M976" s="208" t="s">
        <v>208</v>
      </c>
      <c r="N976" s="55" t="str">
        <f>IF(AND('331-CT'!$E$7=TH!H976,OR(L976="331",M976="331")),"x","")</f>
        <v/>
      </c>
      <c r="O976" s="55" t="str">
        <f>IF(AND($B976&gt;='111'!$N$11,$B976&lt;='111'!$O$11,OR($L976=$O$7,$M976=$O$7)),"x","")</f>
        <v/>
      </c>
      <c r="P976" s="55" t="str">
        <f>IF(AND($L976=$O$7,$B976&lt;'111'!$N$11),"x","")</f>
        <v/>
      </c>
      <c r="Q976" s="55" t="str">
        <f>IF(AND($M976=$O$7,$B976&lt;'111'!$N$11),"x","")</f>
        <v/>
      </c>
      <c r="R976" s="55" t="str">
        <f>IF(ISERROR(FIND('112'!$M$9,G976,1)),"",IF((AND(FIND('112'!$M$9,G976,1)&gt;=1,$B976&gt;='112'!$N$8,$B976&lt;='112'!$O$8,OR($L976='112'!$I$6,$M976='112'!$I$6))),"x",""))</f>
        <v/>
      </c>
      <c r="S976" s="55" t="str">
        <f>IF(ISERROR(FIND('112'!$M$9,G976,1)),"",IF((AND(LEFT(G976,2)=LEFT('112'!$M$9,2),B976&lt;'112'!$N$8,$L976='112'!$I$6)),"x",""))</f>
        <v/>
      </c>
      <c r="T976" s="55" t="str">
        <f>IF(ISERROR(FIND('112'!$M$9,G976,1)),"",IF((AND(RIGHT(G976,2)=RIGHT('112'!$M$9,2),B976&lt;'112'!$N$8,$M976='112'!$I$6)),"x",""))</f>
        <v/>
      </c>
      <c r="U976" s="55" t="str">
        <f>IF(AND('3411-CT'!$F$9=H976,OR(LEFT(L976,3)=$U$7,LEFT(M976,3)=$U$7)),"x","")</f>
        <v/>
      </c>
      <c r="V976" s="55" t="str">
        <f>IF(OR(TH!L976=TH!$V$7,M976=TH!$V$7),"x","")</f>
        <v/>
      </c>
      <c r="W976" s="55" t="str">
        <f>IF(AND(OR(L976="131",M976="131"),H976='131-CT'!$E$7),"x","")</f>
        <v/>
      </c>
      <c r="X976" s="55" t="str">
        <f>IF(AND(B976&gt;='IN-NX'!$P$3,B976&lt;='IN-NX'!$Q$3,'IN-NX'!$D$7=D976,OR(LEFT(TH!L976,2)="15",LEFT(TH!M976,2)="15")),"x","")</f>
        <v/>
      </c>
      <c r="Y976" s="55" t="str">
        <f>IF(AND(OR(LEFT(TH!L976,2)="15",LEFT(TH!M976,2)="15"),'152-CT'!$J$8=TH!F976),"x","")</f>
        <v/>
      </c>
      <c r="Z976" s="55" t="str">
        <f>IF(AND(OR(LEFT(TH!L976,2)="15",LEFT(TH!M976,2)="15"),TK!$E$7=TH!F976),"x","")</f>
        <v/>
      </c>
      <c r="AA976" s="55" t="str">
        <f>IF(AND(B976&lt;=NKC!$N$8,B976&gt;=NKC!$M$8),"x","")</f>
        <v/>
      </c>
    </row>
    <row r="977" spans="1:29" ht="15.75" customHeight="1">
      <c r="A977" s="219" t="str">
        <f>IF(B977&lt;&gt;"",IF(AND(B977&gt;=_TM1,B977&lt;=_TM2,OR(TH!L977="1111",TH!M977="1111")),TH!D977,""),"")</f>
        <v/>
      </c>
      <c r="B977" s="36">
        <f t="shared" si="42"/>
        <v>1</v>
      </c>
      <c r="C977" s="205">
        <f t="shared" si="40"/>
        <v>40924</v>
      </c>
      <c r="D977" s="205"/>
      <c r="E977" s="205">
        <v>40924</v>
      </c>
      <c r="F977" s="206" t="s">
        <v>1155</v>
      </c>
      <c r="G977" s="581" t="s">
        <v>1168</v>
      </c>
      <c r="H977" s="207" t="s">
        <v>1133</v>
      </c>
      <c r="I977" s="277"/>
      <c r="J977" s="277"/>
      <c r="K977" s="698">
        <v>1120300</v>
      </c>
      <c r="L977" s="208" t="s">
        <v>311</v>
      </c>
      <c r="M977" s="208" t="s">
        <v>549</v>
      </c>
      <c r="N977" s="55" t="str">
        <f>IF(AND('331-CT'!$E$7=TH!H977,OR(L977="331",M977="331")),"x","")</f>
        <v/>
      </c>
      <c r="O977" s="55" t="str">
        <f>IF(AND($B977&gt;='111'!$N$11,$B977&lt;='111'!$O$11,OR($L977=$O$7,$M977=$O$7)),"x","")</f>
        <v/>
      </c>
      <c r="P977" s="55" t="str">
        <f>IF(AND($L977=$O$7,$B977&lt;'111'!$N$11),"x","")</f>
        <v/>
      </c>
      <c r="Q977" s="55" t="str">
        <f>IF(AND($M977=$O$7,$B977&lt;'111'!$N$11),"x","")</f>
        <v/>
      </c>
      <c r="R977" s="55" t="str">
        <f>IF(ISERROR(FIND('112'!$M$9,G977,1)),"",IF((AND(FIND('112'!$M$9,G977,1)&gt;=1,$B977&gt;='112'!$N$8,$B977&lt;='112'!$O$8,OR($L977='112'!$I$6,$M977='112'!$I$6))),"x",""))</f>
        <v/>
      </c>
      <c r="S977" s="55" t="str">
        <f>IF(ISERROR(FIND('112'!$M$9,G977,1)),"",IF((AND(LEFT(G977,2)=LEFT('112'!$M$9,2),B977&lt;'112'!$N$8,$L977='112'!$I$6)),"x",""))</f>
        <v/>
      </c>
      <c r="T977" s="55" t="str">
        <f>IF(ISERROR(FIND('112'!$M$9,G977,1)),"",IF((AND(RIGHT(G977,2)=RIGHT('112'!$M$9,2),B977&lt;'112'!$N$8,$M977='112'!$I$6)),"x",""))</f>
        <v/>
      </c>
      <c r="U977" s="55" t="str">
        <f>IF(AND('3411-CT'!$F$9=H977,OR(LEFT(L977,3)=$U$7,LEFT(M977,3)=$U$7)),"x","")</f>
        <v/>
      </c>
      <c r="V977" s="55" t="str">
        <f>IF(OR(TH!L977=TH!$V$7,M977=TH!$V$7),"x","")</f>
        <v/>
      </c>
      <c r="W977" s="55" t="str">
        <f>IF(AND(OR(L977="131",M977="131"),H977='131-CT'!$E$7),"x","")</f>
        <v/>
      </c>
      <c r="X977" s="55" t="str">
        <f>IF(AND(B977&gt;='IN-NX'!$P$3,B977&lt;='IN-NX'!$Q$3,'IN-NX'!$D$7=D977,OR(LEFT(TH!L977,2)="15",LEFT(TH!M977,2)="15")),"x","")</f>
        <v/>
      </c>
      <c r="Y977" s="55" t="str">
        <f>IF(AND(OR(LEFT(TH!L977,2)="15",LEFT(TH!M977,2)="15"),'152-CT'!$J$8=TH!F977),"x","")</f>
        <v/>
      </c>
      <c r="Z977" s="55" t="str">
        <f>IF(AND(OR(LEFT(TH!L977,2)="15",LEFT(TH!M977,2)="15"),TK!$E$7=TH!F977),"x","")</f>
        <v/>
      </c>
      <c r="AA977" s="55" t="str">
        <f>IF(AND(B977&lt;=NKC!$N$8,B977&gt;=NKC!$M$8),"x","")</f>
        <v/>
      </c>
      <c r="AC977" s="226"/>
    </row>
    <row r="978" spans="1:29" ht="15.75" customHeight="1">
      <c r="A978" s="219" t="str">
        <f>IF(B978&lt;&gt;"",IF(AND(B978&gt;=_TM1,B978&lt;=_TM2,OR(TH!L978="1111",TH!M978="1111")),TH!D978,""),"")</f>
        <v/>
      </c>
      <c r="B978" s="36">
        <f t="shared" si="42"/>
        <v>2</v>
      </c>
      <c r="C978" s="205">
        <f t="shared" si="40"/>
        <v>40946</v>
      </c>
      <c r="D978" s="205"/>
      <c r="E978" s="205">
        <v>40946</v>
      </c>
      <c r="F978" s="206" t="s">
        <v>1174</v>
      </c>
      <c r="G978" s="581" t="s">
        <v>1175</v>
      </c>
      <c r="H978" s="207" t="s">
        <v>1176</v>
      </c>
      <c r="I978" s="277">
        <v>600</v>
      </c>
      <c r="J978" s="277">
        <v>20730</v>
      </c>
      <c r="K978" s="698">
        <f t="shared" si="41"/>
        <v>12438000</v>
      </c>
      <c r="L978" s="208" t="s">
        <v>311</v>
      </c>
      <c r="M978" s="208" t="s">
        <v>208</v>
      </c>
      <c r="N978" s="55" t="str">
        <f>IF(AND('331-CT'!$E$7=TH!H978,OR(L978="331",M978="331")),"x","")</f>
        <v/>
      </c>
      <c r="O978" s="55" t="str">
        <f>IF(AND($B978&gt;='111'!$N$11,$B978&lt;='111'!$O$11,OR($L978=$O$7,$M978=$O$7)),"x","")</f>
        <v/>
      </c>
      <c r="P978" s="55" t="str">
        <f>IF(AND($L978=$O$7,$B978&lt;'111'!$N$11),"x","")</f>
        <v/>
      </c>
      <c r="Q978" s="55" t="str">
        <f>IF(AND($M978=$O$7,$B978&lt;'111'!$N$11),"x","")</f>
        <v/>
      </c>
      <c r="R978" s="55" t="str">
        <f>IF(ISERROR(FIND('112'!$M$9,G978,1)),"",IF((AND(FIND('112'!$M$9,G978,1)&gt;=1,$B978&gt;='112'!$N$8,$B978&lt;='112'!$O$8,OR($L978='112'!$I$6,$M978='112'!$I$6))),"x",""))</f>
        <v/>
      </c>
      <c r="S978" s="55" t="str">
        <f>IF(ISERROR(FIND('112'!$M$9,G978,1)),"",IF((AND(LEFT(G978,2)=LEFT('112'!$M$9,2),B978&lt;'112'!$N$8,$L978='112'!$I$6)),"x",""))</f>
        <v/>
      </c>
      <c r="T978" s="55" t="str">
        <f>IF(ISERROR(FIND('112'!$M$9,G978,1)),"",IF((AND(RIGHT(G978,2)=RIGHT('112'!$M$9,2),B978&lt;'112'!$N$8,$M978='112'!$I$6)),"x",""))</f>
        <v/>
      </c>
      <c r="U978" s="55" t="str">
        <f>IF(AND('3411-CT'!$F$9=H978,OR(LEFT(L978,3)=$U$7,LEFT(M978,3)=$U$7)),"x","")</f>
        <v/>
      </c>
      <c r="V978" s="55" t="str">
        <f>IF(OR(TH!L978=TH!$V$7,M978=TH!$V$7),"x","")</f>
        <v/>
      </c>
      <c r="W978" s="55" t="str">
        <f>IF(AND(OR(L978="131",M978="131"),H978='131-CT'!$E$7),"x","")</f>
        <v/>
      </c>
      <c r="X978" s="55" t="str">
        <f>IF(AND(B978&gt;='IN-NX'!$P$3,B978&lt;='IN-NX'!$Q$3,'IN-NX'!$D$7=D978,OR(LEFT(TH!L978,2)="15",LEFT(TH!M978,2)="15")),"x","")</f>
        <v/>
      </c>
      <c r="Y978" s="55" t="str">
        <f>IF(AND(OR(LEFT(TH!L978,2)="15",LEFT(TH!M978,2)="15"),'152-CT'!$J$8=TH!F978),"x","")</f>
        <v/>
      </c>
      <c r="Z978" s="55" t="str">
        <f>IF(AND(OR(LEFT(TH!L978,2)="15",LEFT(TH!M978,2)="15"),TK!$E$7=TH!F978),"x","")</f>
        <v/>
      </c>
      <c r="AA978" s="55" t="str">
        <f>IF(AND(B978&lt;=NKC!$N$8,B978&gt;=NKC!$M$8),"x","")</f>
        <v/>
      </c>
    </row>
    <row r="979" spans="1:29" ht="15.75" customHeight="1">
      <c r="A979" s="219" t="str">
        <f>IF(B979&lt;&gt;"",IF(AND(B979&gt;=_TM1,B979&lt;=_TM2,OR(TH!L979="1111",TH!M979="1111")),TH!D979,""),"")</f>
        <v/>
      </c>
      <c r="B979" s="36">
        <f t="shared" si="42"/>
        <v>2</v>
      </c>
      <c r="C979" s="205">
        <f t="shared" si="40"/>
        <v>40946</v>
      </c>
      <c r="D979" s="205"/>
      <c r="E979" s="205">
        <v>40946</v>
      </c>
      <c r="F979" s="206" t="s">
        <v>1177</v>
      </c>
      <c r="G979" s="581" t="s">
        <v>1175</v>
      </c>
      <c r="H979" s="207" t="s">
        <v>1176</v>
      </c>
      <c r="I979" s="277">
        <v>200</v>
      </c>
      <c r="J979" s="277">
        <v>15720</v>
      </c>
      <c r="K979" s="698">
        <f t="shared" si="41"/>
        <v>3144000</v>
      </c>
      <c r="L979" s="208" t="s">
        <v>311</v>
      </c>
      <c r="M979" s="208" t="s">
        <v>208</v>
      </c>
      <c r="N979" s="55" t="str">
        <f>IF(AND('331-CT'!$E$7=TH!H979,OR(L979="331",M979="331")),"x","")</f>
        <v/>
      </c>
      <c r="O979" s="55" t="str">
        <f>IF(AND($B979&gt;='111'!$N$11,$B979&lt;='111'!$O$11,OR($L979=$O$7,$M979=$O$7)),"x","")</f>
        <v/>
      </c>
      <c r="P979" s="55" t="str">
        <f>IF(AND($L979=$O$7,$B979&lt;'111'!$N$11),"x","")</f>
        <v/>
      </c>
      <c r="Q979" s="55" t="str">
        <f>IF(AND($M979=$O$7,$B979&lt;'111'!$N$11),"x","")</f>
        <v/>
      </c>
      <c r="R979" s="55" t="str">
        <f>IF(ISERROR(FIND('112'!$M$9,G979,1)),"",IF((AND(FIND('112'!$M$9,G979,1)&gt;=1,$B979&gt;='112'!$N$8,$B979&lt;='112'!$O$8,OR($L979='112'!$I$6,$M979='112'!$I$6))),"x",""))</f>
        <v/>
      </c>
      <c r="S979" s="55" t="str">
        <f>IF(ISERROR(FIND('112'!$M$9,G979,1)),"",IF((AND(LEFT(G979,2)=LEFT('112'!$M$9,2),B979&lt;'112'!$N$8,$L979='112'!$I$6)),"x",""))</f>
        <v/>
      </c>
      <c r="T979" s="55" t="str">
        <f>IF(ISERROR(FIND('112'!$M$9,G979,1)),"",IF((AND(RIGHT(G979,2)=RIGHT('112'!$M$9,2),B979&lt;'112'!$N$8,$M979='112'!$I$6)),"x",""))</f>
        <v/>
      </c>
      <c r="U979" s="55" t="str">
        <f>IF(AND('3411-CT'!$F$9=H979,OR(LEFT(L979,3)=$U$7,LEFT(M979,3)=$U$7)),"x","")</f>
        <v/>
      </c>
      <c r="V979" s="55" t="str">
        <f>IF(OR(TH!L979=TH!$V$7,M979=TH!$V$7),"x","")</f>
        <v/>
      </c>
      <c r="W979" s="55" t="str">
        <f>IF(AND(OR(L979="131",M979="131"),H979='131-CT'!$E$7),"x","")</f>
        <v/>
      </c>
      <c r="X979" s="55" t="str">
        <f>IF(AND(B979&gt;='IN-NX'!$P$3,B979&lt;='IN-NX'!$Q$3,'IN-NX'!$D$7=D979,OR(LEFT(TH!L979,2)="15",LEFT(TH!M979,2)="15")),"x","")</f>
        <v/>
      </c>
      <c r="Y979" s="55" t="str">
        <f>IF(AND(OR(LEFT(TH!L979,2)="15",LEFT(TH!M979,2)="15"),'152-CT'!$J$8=TH!F979),"x","")</f>
        <v/>
      </c>
      <c r="Z979" s="55" t="str">
        <f>IF(AND(OR(LEFT(TH!L979,2)="15",LEFT(TH!M979,2)="15"),TK!$E$7=TH!F979),"x","")</f>
        <v/>
      </c>
      <c r="AA979" s="55" t="str">
        <f>IF(AND(B979&lt;=NKC!$N$8,B979&gt;=NKC!$M$8),"x","")</f>
        <v/>
      </c>
    </row>
    <row r="980" spans="1:29" ht="15.75" customHeight="1">
      <c r="A980" s="219" t="str">
        <f>IF(B980&lt;&gt;"",IF(AND(B980&gt;=_TM1,B980&lt;=_TM2,OR(TH!L980="1111",TH!M980="1111")),TH!D980,""),"")</f>
        <v/>
      </c>
      <c r="B980" s="36">
        <f t="shared" si="42"/>
        <v>2</v>
      </c>
      <c r="C980" s="205">
        <f t="shared" si="40"/>
        <v>40946</v>
      </c>
      <c r="D980" s="205"/>
      <c r="E980" s="205">
        <v>40946</v>
      </c>
      <c r="F980" s="206" t="s">
        <v>1178</v>
      </c>
      <c r="G980" s="581" t="s">
        <v>1175</v>
      </c>
      <c r="H980" s="207" t="s">
        <v>1176</v>
      </c>
      <c r="I980" s="277">
        <v>300</v>
      </c>
      <c r="J980" s="277">
        <v>23900</v>
      </c>
      <c r="K980" s="698">
        <f t="shared" si="41"/>
        <v>7170000</v>
      </c>
      <c r="L980" s="208" t="s">
        <v>311</v>
      </c>
      <c r="M980" s="208" t="s">
        <v>208</v>
      </c>
      <c r="N980" s="55" t="str">
        <f>IF(AND('331-CT'!$E$7=TH!H980,OR(L980="331",M980="331")),"x","")</f>
        <v/>
      </c>
      <c r="O980" s="55" t="str">
        <f>IF(AND($B980&gt;='111'!$N$11,$B980&lt;='111'!$O$11,OR($L980=$O$7,$M980=$O$7)),"x","")</f>
        <v/>
      </c>
      <c r="P980" s="55" t="str">
        <f>IF(AND($L980=$O$7,$B980&lt;'111'!$N$11),"x","")</f>
        <v/>
      </c>
      <c r="Q980" s="55" t="str">
        <f>IF(AND($M980=$O$7,$B980&lt;'111'!$N$11),"x","")</f>
        <v/>
      </c>
      <c r="R980" s="55" t="str">
        <f>IF(ISERROR(FIND('112'!$M$9,G980,1)),"",IF((AND(FIND('112'!$M$9,G980,1)&gt;=1,$B980&gt;='112'!$N$8,$B980&lt;='112'!$O$8,OR($L980='112'!$I$6,$M980='112'!$I$6))),"x",""))</f>
        <v/>
      </c>
      <c r="S980" s="55" t="str">
        <f>IF(ISERROR(FIND('112'!$M$9,G980,1)),"",IF((AND(LEFT(G980,2)=LEFT('112'!$M$9,2),B980&lt;'112'!$N$8,$L980='112'!$I$6)),"x",""))</f>
        <v/>
      </c>
      <c r="T980" s="55" t="str">
        <f>IF(ISERROR(FIND('112'!$M$9,G980,1)),"",IF((AND(RIGHT(G980,2)=RIGHT('112'!$M$9,2),B980&lt;'112'!$N$8,$M980='112'!$I$6)),"x",""))</f>
        <v/>
      </c>
      <c r="U980" s="55" t="str">
        <f>IF(AND('3411-CT'!$F$9=H980,OR(LEFT(L980,3)=$U$7,LEFT(M980,3)=$U$7)),"x","")</f>
        <v/>
      </c>
      <c r="V980" s="55" t="str">
        <f>IF(OR(TH!L980=TH!$V$7,M980=TH!$V$7),"x","")</f>
        <v/>
      </c>
      <c r="W980" s="55" t="str">
        <f>IF(AND(OR(L980="131",M980="131"),H980='131-CT'!$E$7),"x","")</f>
        <v/>
      </c>
      <c r="X980" s="55" t="str">
        <f>IF(AND(B980&gt;='IN-NX'!$P$3,B980&lt;='IN-NX'!$Q$3,'IN-NX'!$D$7=D980,OR(LEFT(TH!L980,2)="15",LEFT(TH!M980,2)="15")),"x","")</f>
        <v/>
      </c>
      <c r="Y980" s="55" t="str">
        <f>IF(AND(OR(LEFT(TH!L980,2)="15",LEFT(TH!M980,2)="15"),'152-CT'!$J$8=TH!F980),"x","")</f>
        <v/>
      </c>
      <c r="Z980" s="55" t="str">
        <f>IF(AND(OR(LEFT(TH!L980,2)="15",LEFT(TH!M980,2)="15"),TK!$E$7=TH!F980),"x","")</f>
        <v/>
      </c>
      <c r="AA980" s="55" t="str">
        <f>IF(AND(B980&lt;=NKC!$N$8,B980&gt;=NKC!$M$8),"x","")</f>
        <v/>
      </c>
    </row>
    <row r="981" spans="1:29" ht="15.75" customHeight="1">
      <c r="A981" s="219" t="str">
        <f>IF(B981&lt;&gt;"",IF(AND(B981&gt;=_TM1,B981&lt;=_TM2,OR(TH!L981="1111",TH!M981="1111")),TH!D981,""),"")</f>
        <v/>
      </c>
      <c r="B981" s="36">
        <f t="shared" si="42"/>
        <v>2</v>
      </c>
      <c r="C981" s="205">
        <f t="shared" si="40"/>
        <v>40946</v>
      </c>
      <c r="D981" s="205"/>
      <c r="E981" s="205">
        <v>40946</v>
      </c>
      <c r="F981" s="206" t="s">
        <v>1179</v>
      </c>
      <c r="G981" s="581" t="s">
        <v>1175</v>
      </c>
      <c r="H981" s="207" t="s">
        <v>1176</v>
      </c>
      <c r="I981" s="277">
        <v>900</v>
      </c>
      <c r="J981" s="277">
        <v>1653</v>
      </c>
      <c r="K981" s="698">
        <f t="shared" si="41"/>
        <v>1487700</v>
      </c>
      <c r="L981" s="208" t="s">
        <v>311</v>
      </c>
      <c r="M981" s="208" t="s">
        <v>208</v>
      </c>
      <c r="N981" s="55" t="str">
        <f>IF(AND('331-CT'!$E$7=TH!H981,OR(L981="331",M981="331")),"x","")</f>
        <v/>
      </c>
      <c r="O981" s="55" t="str">
        <f>IF(AND($B981&gt;='111'!$N$11,$B981&lt;='111'!$O$11,OR($L981=$O$7,$M981=$O$7)),"x","")</f>
        <v/>
      </c>
      <c r="P981" s="55" t="str">
        <f>IF(AND($L981=$O$7,$B981&lt;'111'!$N$11),"x","")</f>
        <v/>
      </c>
      <c r="Q981" s="55" t="str">
        <f>IF(AND($M981=$O$7,$B981&lt;'111'!$N$11),"x","")</f>
        <v/>
      </c>
      <c r="R981" s="55" t="str">
        <f>IF(ISERROR(FIND('112'!$M$9,G981,1)),"",IF((AND(FIND('112'!$M$9,G981,1)&gt;=1,$B981&gt;='112'!$N$8,$B981&lt;='112'!$O$8,OR($L981='112'!$I$6,$M981='112'!$I$6))),"x",""))</f>
        <v/>
      </c>
      <c r="S981" s="55" t="str">
        <f>IF(ISERROR(FIND('112'!$M$9,G981,1)),"",IF((AND(LEFT(G981,2)=LEFT('112'!$M$9,2),B981&lt;'112'!$N$8,$L981='112'!$I$6)),"x",""))</f>
        <v/>
      </c>
      <c r="T981" s="55" t="str">
        <f>IF(ISERROR(FIND('112'!$M$9,G981,1)),"",IF((AND(RIGHT(G981,2)=RIGHT('112'!$M$9,2),B981&lt;'112'!$N$8,$M981='112'!$I$6)),"x",""))</f>
        <v/>
      </c>
      <c r="U981" s="55" t="str">
        <f>IF(AND('3411-CT'!$F$9=H981,OR(LEFT(L981,3)=$U$7,LEFT(M981,3)=$U$7)),"x","")</f>
        <v/>
      </c>
      <c r="V981" s="55" t="str">
        <f>IF(OR(TH!L981=TH!$V$7,M981=TH!$V$7),"x","")</f>
        <v/>
      </c>
      <c r="W981" s="55" t="str">
        <f>IF(AND(OR(L981="131",M981="131"),H981='131-CT'!$E$7),"x","")</f>
        <v/>
      </c>
      <c r="X981" s="55" t="str">
        <f>IF(AND(B981&gt;='IN-NX'!$P$3,B981&lt;='IN-NX'!$Q$3,'IN-NX'!$D$7=D981,OR(LEFT(TH!L981,2)="15",LEFT(TH!M981,2)="15")),"x","")</f>
        <v/>
      </c>
      <c r="Y981" s="55" t="str">
        <f>IF(AND(OR(LEFT(TH!L981,2)="15",LEFT(TH!M981,2)="15"),'152-CT'!$J$8=TH!F981),"x","")</f>
        <v/>
      </c>
      <c r="Z981" s="55" t="str">
        <f>IF(AND(OR(LEFT(TH!L981,2)="15",LEFT(TH!M981,2)="15"),TK!$E$7=TH!F981),"x","")</f>
        <v/>
      </c>
      <c r="AA981" s="55" t="str">
        <f>IF(AND(B981&lt;=NKC!$N$8,B981&gt;=NKC!$M$8),"x","")</f>
        <v/>
      </c>
    </row>
    <row r="982" spans="1:29" ht="15.75" customHeight="1">
      <c r="A982" s="219" t="str">
        <f>IF(B982&lt;&gt;"",IF(AND(B982&gt;=_TM1,B982&lt;=_TM2,OR(TH!L982="1111",TH!M982="1111")),TH!D982,""),"")</f>
        <v/>
      </c>
      <c r="B982" s="36">
        <f t="shared" si="42"/>
        <v>2</v>
      </c>
      <c r="C982" s="205">
        <f t="shared" si="40"/>
        <v>40946</v>
      </c>
      <c r="D982" s="205"/>
      <c r="E982" s="205">
        <v>40946</v>
      </c>
      <c r="F982" s="206" t="s">
        <v>1180</v>
      </c>
      <c r="G982" s="581" t="s">
        <v>1175</v>
      </c>
      <c r="H982" s="207" t="s">
        <v>1176</v>
      </c>
      <c r="I982" s="277">
        <v>900</v>
      </c>
      <c r="J982" s="277">
        <v>1633</v>
      </c>
      <c r="K982" s="698">
        <f t="shared" si="41"/>
        <v>1469700</v>
      </c>
      <c r="L982" s="208" t="s">
        <v>311</v>
      </c>
      <c r="M982" s="208" t="s">
        <v>208</v>
      </c>
      <c r="N982" s="55" t="str">
        <f>IF(AND('331-CT'!$E$7=TH!H982,OR(L982="331",M982="331")),"x","")</f>
        <v/>
      </c>
      <c r="O982" s="55" t="str">
        <f>IF(AND($B982&gt;='111'!$N$11,$B982&lt;='111'!$O$11,OR($L982=$O$7,$M982=$O$7)),"x","")</f>
        <v/>
      </c>
      <c r="P982" s="55" t="str">
        <f>IF(AND($L982=$O$7,$B982&lt;'111'!$N$11),"x","")</f>
        <v/>
      </c>
      <c r="Q982" s="55" t="str">
        <f>IF(AND($M982=$O$7,$B982&lt;'111'!$N$11),"x","")</f>
        <v/>
      </c>
      <c r="R982" s="55" t="str">
        <f>IF(ISERROR(FIND('112'!$M$9,G982,1)),"",IF((AND(FIND('112'!$M$9,G982,1)&gt;=1,$B982&gt;='112'!$N$8,$B982&lt;='112'!$O$8,OR($L982='112'!$I$6,$M982='112'!$I$6))),"x",""))</f>
        <v/>
      </c>
      <c r="S982" s="55" t="str">
        <f>IF(ISERROR(FIND('112'!$M$9,G982,1)),"",IF((AND(LEFT(G982,2)=LEFT('112'!$M$9,2),B982&lt;'112'!$N$8,$L982='112'!$I$6)),"x",""))</f>
        <v/>
      </c>
      <c r="T982" s="55" t="str">
        <f>IF(ISERROR(FIND('112'!$M$9,G982,1)),"",IF((AND(RIGHT(G982,2)=RIGHT('112'!$M$9,2),B982&lt;'112'!$N$8,$M982='112'!$I$6)),"x",""))</f>
        <v/>
      </c>
      <c r="U982" s="55" t="str">
        <f>IF(AND('3411-CT'!$F$9=H982,OR(LEFT(L982,3)=$U$7,LEFT(M982,3)=$U$7)),"x","")</f>
        <v/>
      </c>
      <c r="V982" s="55" t="str">
        <f>IF(OR(TH!L982=TH!$V$7,M982=TH!$V$7),"x","")</f>
        <v/>
      </c>
      <c r="W982" s="55" t="str">
        <f>IF(AND(OR(L982="131",M982="131"),H982='131-CT'!$E$7),"x","")</f>
        <v/>
      </c>
      <c r="X982" s="55" t="str">
        <f>IF(AND(B982&gt;='IN-NX'!$P$3,B982&lt;='IN-NX'!$Q$3,'IN-NX'!$D$7=D982,OR(LEFT(TH!L982,2)="15",LEFT(TH!M982,2)="15")),"x","")</f>
        <v/>
      </c>
      <c r="Y982" s="55" t="str">
        <f>IF(AND(OR(LEFT(TH!L982,2)="15",LEFT(TH!M982,2)="15"),'152-CT'!$J$8=TH!F982),"x","")</f>
        <v/>
      </c>
      <c r="Z982" s="55" t="str">
        <f>IF(AND(OR(LEFT(TH!L982,2)="15",LEFT(TH!M982,2)="15"),TK!$E$7=TH!F982),"x","")</f>
        <v/>
      </c>
      <c r="AA982" s="55" t="str">
        <f>IF(AND(B982&lt;=NKC!$N$8,B982&gt;=NKC!$M$8),"x","")</f>
        <v/>
      </c>
    </row>
    <row r="983" spans="1:29" ht="15.75" customHeight="1">
      <c r="A983" s="219" t="str">
        <f>IF(B983&lt;&gt;"",IF(AND(B983&gt;=_TM1,B983&lt;=_TM2,OR(TH!L983="1111",TH!M983="1111")),TH!D983,""),"")</f>
        <v/>
      </c>
      <c r="B983" s="36">
        <f t="shared" si="42"/>
        <v>2</v>
      </c>
      <c r="C983" s="205">
        <f t="shared" si="40"/>
        <v>40946</v>
      </c>
      <c r="D983" s="205"/>
      <c r="E983" s="205">
        <v>40946</v>
      </c>
      <c r="F983" s="206" t="s">
        <v>1155</v>
      </c>
      <c r="G983" s="581" t="s">
        <v>1175</v>
      </c>
      <c r="H983" s="207" t="s">
        <v>1176</v>
      </c>
      <c r="I983" s="277"/>
      <c r="J983" s="277"/>
      <c r="K983" s="698">
        <v>2570940</v>
      </c>
      <c r="L983" s="208" t="s">
        <v>311</v>
      </c>
      <c r="M983" s="208" t="s">
        <v>549</v>
      </c>
      <c r="N983" s="55" t="str">
        <f>IF(AND('331-CT'!$E$7=TH!H983,OR(L983="331",M983="331")),"x","")</f>
        <v/>
      </c>
      <c r="O983" s="55" t="str">
        <f>IF(AND($B983&gt;='111'!$N$11,$B983&lt;='111'!$O$11,OR($L983=$O$7,$M983=$O$7)),"x","")</f>
        <v/>
      </c>
      <c r="P983" s="55" t="str">
        <f>IF(AND($L983=$O$7,$B983&lt;'111'!$N$11),"x","")</f>
        <v/>
      </c>
      <c r="Q983" s="55" t="str">
        <f>IF(AND($M983=$O$7,$B983&lt;'111'!$N$11),"x","")</f>
        <v/>
      </c>
      <c r="R983" s="55" t="str">
        <f>IF(ISERROR(FIND('112'!$M$9,G983,1)),"",IF((AND(FIND('112'!$M$9,G983,1)&gt;=1,$B983&gt;='112'!$N$8,$B983&lt;='112'!$O$8,OR($L983='112'!$I$6,$M983='112'!$I$6))),"x",""))</f>
        <v/>
      </c>
      <c r="S983" s="55" t="str">
        <f>IF(ISERROR(FIND('112'!$M$9,G983,1)),"",IF((AND(LEFT(G983,2)=LEFT('112'!$M$9,2),B983&lt;'112'!$N$8,$L983='112'!$I$6)),"x",""))</f>
        <v/>
      </c>
      <c r="T983" s="55" t="str">
        <f>IF(ISERROR(FIND('112'!$M$9,G983,1)),"",IF((AND(RIGHT(G983,2)=RIGHT('112'!$M$9,2),B983&lt;'112'!$N$8,$M983='112'!$I$6)),"x",""))</f>
        <v/>
      </c>
      <c r="U983" s="55" t="str">
        <f>IF(AND('3411-CT'!$F$9=H983,OR(LEFT(L983,3)=$U$7,LEFT(M983,3)=$U$7)),"x","")</f>
        <v/>
      </c>
      <c r="V983" s="55" t="str">
        <f>IF(OR(TH!L983=TH!$V$7,M983=TH!$V$7),"x","")</f>
        <v/>
      </c>
      <c r="W983" s="55" t="str">
        <f>IF(AND(OR(L983="131",M983="131"),H983='131-CT'!$E$7),"x","")</f>
        <v/>
      </c>
      <c r="X983" s="55" t="str">
        <f>IF(AND(B983&gt;='IN-NX'!$P$3,B983&lt;='IN-NX'!$Q$3,'IN-NX'!$D$7=D983,OR(LEFT(TH!L983,2)="15",LEFT(TH!M983,2)="15")),"x","")</f>
        <v/>
      </c>
      <c r="Y983" s="55" t="str">
        <f>IF(AND(OR(LEFT(TH!L983,2)="15",LEFT(TH!M983,2)="15"),'152-CT'!$J$8=TH!F983),"x","")</f>
        <v/>
      </c>
      <c r="Z983" s="55" t="str">
        <f>IF(AND(OR(LEFT(TH!L983,2)="15",LEFT(TH!M983,2)="15"),TK!$E$7=TH!F983),"x","")</f>
        <v/>
      </c>
      <c r="AA983" s="55" t="str">
        <f>IF(AND(B983&lt;=NKC!$N$8,B983&gt;=NKC!$M$8),"x","")</f>
        <v/>
      </c>
      <c r="AC983" s="226"/>
    </row>
    <row r="984" spans="1:29" ht="15.75" customHeight="1">
      <c r="A984" s="219" t="str">
        <f>IF(B984&lt;&gt;"",IF(AND(B984&gt;=_TM1,B984&lt;=_TM2,OR(TH!L984="1111",TH!M984="1111")),TH!D984,""),"")</f>
        <v/>
      </c>
      <c r="B984" s="36">
        <f t="shared" si="42"/>
        <v>2</v>
      </c>
      <c r="C984" s="205">
        <f t="shared" si="40"/>
        <v>40953</v>
      </c>
      <c r="D984" s="205"/>
      <c r="E984" s="205">
        <v>40953</v>
      </c>
      <c r="F984" s="206" t="s">
        <v>1181</v>
      </c>
      <c r="G984" s="581" t="s">
        <v>1182</v>
      </c>
      <c r="H984" s="7" t="s">
        <v>1132</v>
      </c>
      <c r="I984" s="277">
        <v>498</v>
      </c>
      <c r="J984" s="277">
        <v>7600</v>
      </c>
      <c r="K984" s="698">
        <f t="shared" si="41"/>
        <v>3784800</v>
      </c>
      <c r="L984" s="208" t="s">
        <v>311</v>
      </c>
      <c r="M984" s="208" t="s">
        <v>208</v>
      </c>
      <c r="N984" s="55" t="str">
        <f>IF(AND('331-CT'!$E$7=TH!H984,OR(L984="331",M984="331")),"x","")</f>
        <v/>
      </c>
      <c r="O984" s="55" t="str">
        <f>IF(AND($B984&gt;='111'!$N$11,$B984&lt;='111'!$O$11,OR($L984=$O$7,$M984=$O$7)),"x","")</f>
        <v/>
      </c>
      <c r="P984" s="55" t="str">
        <f>IF(AND($L984=$O$7,$B984&lt;'111'!$N$11),"x","")</f>
        <v/>
      </c>
      <c r="Q984" s="55" t="str">
        <f>IF(AND($M984=$O$7,$B984&lt;'111'!$N$11),"x","")</f>
        <v/>
      </c>
      <c r="R984" s="55" t="str">
        <f>IF(ISERROR(FIND('112'!$M$9,G984,1)),"",IF((AND(FIND('112'!$M$9,G984,1)&gt;=1,$B984&gt;='112'!$N$8,$B984&lt;='112'!$O$8,OR($L984='112'!$I$6,$M984='112'!$I$6))),"x",""))</f>
        <v/>
      </c>
      <c r="S984" s="55" t="str">
        <f>IF(ISERROR(FIND('112'!$M$9,G984,1)),"",IF((AND(LEFT(G984,2)=LEFT('112'!$M$9,2),B984&lt;'112'!$N$8,$L984='112'!$I$6)),"x",""))</f>
        <v/>
      </c>
      <c r="T984" s="55" t="str">
        <f>IF(ISERROR(FIND('112'!$M$9,G984,1)),"",IF((AND(RIGHT(G984,2)=RIGHT('112'!$M$9,2),B984&lt;'112'!$N$8,$M984='112'!$I$6)),"x",""))</f>
        <v/>
      </c>
      <c r="U984" s="55" t="str">
        <f>IF(AND('3411-CT'!$F$9=H984,OR(LEFT(L984,3)=$U$7,LEFT(M984,3)=$U$7)),"x","")</f>
        <v/>
      </c>
      <c r="V984" s="55" t="str">
        <f>IF(OR(TH!L984=TH!$V$7,M984=TH!$V$7),"x","")</f>
        <v/>
      </c>
      <c r="W984" s="55" t="str">
        <f>IF(AND(OR(L984="131",M984="131"),H984='131-CT'!$E$7),"x","")</f>
        <v/>
      </c>
      <c r="X984" s="55" t="str">
        <f>IF(AND(B984&gt;='IN-NX'!$P$3,B984&lt;='IN-NX'!$Q$3,'IN-NX'!$D$7=D984,OR(LEFT(TH!L984,2)="15",LEFT(TH!M984,2)="15")),"x","")</f>
        <v/>
      </c>
      <c r="Y984" s="55" t="str">
        <f>IF(AND(OR(LEFT(TH!L984,2)="15",LEFT(TH!M984,2)="15"),'152-CT'!$J$8=TH!F984),"x","")</f>
        <v/>
      </c>
      <c r="Z984" s="55" t="str">
        <f>IF(AND(OR(LEFT(TH!L984,2)="15",LEFT(TH!M984,2)="15"),TK!$E$7=TH!F984),"x","")</f>
        <v/>
      </c>
      <c r="AA984" s="55" t="str">
        <f>IF(AND(B984&lt;=NKC!$N$8,B984&gt;=NKC!$M$8),"x","")</f>
        <v/>
      </c>
    </row>
    <row r="985" spans="1:29" ht="15.75" customHeight="1">
      <c r="A985" s="219" t="str">
        <f>IF(B985&lt;&gt;"",IF(AND(B985&gt;=_TM1,B985&lt;=_TM2,OR(TH!L985="1111",TH!M985="1111")),TH!D985,""),"")</f>
        <v/>
      </c>
      <c r="B985" s="36">
        <f t="shared" si="42"/>
        <v>2</v>
      </c>
      <c r="C985" s="205">
        <f t="shared" si="40"/>
        <v>40953</v>
      </c>
      <c r="D985" s="205"/>
      <c r="E985" s="205">
        <v>40953</v>
      </c>
      <c r="F985" s="206" t="s">
        <v>1155</v>
      </c>
      <c r="G985" s="581" t="s">
        <v>1182</v>
      </c>
      <c r="H985" s="7" t="s">
        <v>1132</v>
      </c>
      <c r="I985" s="277"/>
      <c r="J985" s="277"/>
      <c r="K985" s="698">
        <v>378480</v>
      </c>
      <c r="L985" s="208" t="s">
        <v>311</v>
      </c>
      <c r="M985" s="208" t="s">
        <v>549</v>
      </c>
      <c r="N985" s="55" t="str">
        <f>IF(AND('331-CT'!$E$7=TH!H985,OR(L985="331",M985="331")),"x","")</f>
        <v/>
      </c>
      <c r="O985" s="55" t="str">
        <f>IF(AND($B985&gt;='111'!$N$11,$B985&lt;='111'!$O$11,OR($L985=$O$7,$M985=$O$7)),"x","")</f>
        <v/>
      </c>
      <c r="P985" s="55" t="str">
        <f>IF(AND($L985=$O$7,$B985&lt;'111'!$N$11),"x","")</f>
        <v/>
      </c>
      <c r="Q985" s="55" t="str">
        <f>IF(AND($M985=$O$7,$B985&lt;'111'!$N$11),"x","")</f>
        <v/>
      </c>
      <c r="R985" s="55" t="str">
        <f>IF(ISERROR(FIND('112'!$M$9,G985,1)),"",IF((AND(FIND('112'!$M$9,G985,1)&gt;=1,$B985&gt;='112'!$N$8,$B985&lt;='112'!$O$8,OR($L985='112'!$I$6,$M985='112'!$I$6))),"x",""))</f>
        <v/>
      </c>
      <c r="S985" s="55" t="str">
        <f>IF(ISERROR(FIND('112'!$M$9,G985,1)),"",IF((AND(LEFT(G985,2)=LEFT('112'!$M$9,2),B985&lt;'112'!$N$8,$L985='112'!$I$6)),"x",""))</f>
        <v/>
      </c>
      <c r="T985" s="55" t="str">
        <f>IF(ISERROR(FIND('112'!$M$9,G985,1)),"",IF((AND(RIGHT(G985,2)=RIGHT('112'!$M$9,2),B985&lt;'112'!$N$8,$M985='112'!$I$6)),"x",""))</f>
        <v/>
      </c>
      <c r="U985" s="55" t="str">
        <f>IF(AND('3411-CT'!$F$9=H985,OR(LEFT(L985,3)=$U$7,LEFT(M985,3)=$U$7)),"x","")</f>
        <v/>
      </c>
      <c r="V985" s="55" t="str">
        <f>IF(OR(TH!L985=TH!$V$7,M985=TH!$V$7),"x","")</f>
        <v/>
      </c>
      <c r="W985" s="55" t="str">
        <f>IF(AND(OR(L985="131",M985="131"),H985='131-CT'!$E$7),"x","")</f>
        <v/>
      </c>
      <c r="X985" s="55" t="str">
        <f>IF(AND(B985&gt;='IN-NX'!$P$3,B985&lt;='IN-NX'!$Q$3,'IN-NX'!$D$7=D985,OR(LEFT(TH!L985,2)="15",LEFT(TH!M985,2)="15")),"x","")</f>
        <v/>
      </c>
      <c r="Y985" s="55" t="str">
        <f>IF(AND(OR(LEFT(TH!L985,2)="15",LEFT(TH!M985,2)="15"),'152-CT'!$J$8=TH!F985),"x","")</f>
        <v/>
      </c>
      <c r="Z985" s="55" t="str">
        <f>IF(AND(OR(LEFT(TH!L985,2)="15",LEFT(TH!M985,2)="15"),TK!$E$7=TH!F985),"x","")</f>
        <v/>
      </c>
      <c r="AA985" s="55" t="str">
        <f>IF(AND(B985&lt;=NKC!$N$8,B985&gt;=NKC!$M$8),"x","")</f>
        <v/>
      </c>
      <c r="AC985" s="226"/>
    </row>
    <row r="986" spans="1:29" ht="15.75" customHeight="1">
      <c r="A986" s="219" t="str">
        <f>IF(B986&lt;&gt;"",IF(AND(B986&gt;=_TM1,B986&lt;=_TM2,OR(TH!L986="1111",TH!M986="1111")),TH!D986,""),"")</f>
        <v/>
      </c>
      <c r="B986" s="36">
        <f t="shared" si="42"/>
        <v>2</v>
      </c>
      <c r="C986" s="205">
        <f t="shared" si="40"/>
        <v>40956</v>
      </c>
      <c r="D986" s="205"/>
      <c r="E986" s="205">
        <v>40956</v>
      </c>
      <c r="F986" s="206" t="s">
        <v>1183</v>
      </c>
      <c r="G986" s="581" t="s">
        <v>1184</v>
      </c>
      <c r="H986" s="7" t="s">
        <v>1135</v>
      </c>
      <c r="I986" s="277">
        <v>500</v>
      </c>
      <c r="J986" s="277">
        <v>11500</v>
      </c>
      <c r="K986" s="698">
        <f t="shared" ref="K986:K1039" si="43">ROUND(I986*J986,0)</f>
        <v>5750000</v>
      </c>
      <c r="L986" s="208" t="s">
        <v>311</v>
      </c>
      <c r="M986" s="208" t="s">
        <v>208</v>
      </c>
      <c r="N986" s="55" t="str">
        <f>IF(AND('331-CT'!$E$7=TH!H986,OR(L986="331",M986="331")),"x","")</f>
        <v/>
      </c>
      <c r="O986" s="55" t="str">
        <f>IF(AND($B986&gt;='111'!$N$11,$B986&lt;='111'!$O$11,OR($L986=$O$7,$M986=$O$7)),"x","")</f>
        <v/>
      </c>
      <c r="P986" s="55" t="str">
        <f>IF(AND($L986=$O$7,$B986&lt;'111'!$N$11),"x","")</f>
        <v/>
      </c>
      <c r="Q986" s="55" t="str">
        <f>IF(AND($M986=$O$7,$B986&lt;'111'!$N$11),"x","")</f>
        <v/>
      </c>
      <c r="R986" s="55" t="str">
        <f>IF(ISERROR(FIND('112'!$M$9,G986,1)),"",IF((AND(FIND('112'!$M$9,G986,1)&gt;=1,$B986&gt;='112'!$N$8,$B986&lt;='112'!$O$8,OR($L986='112'!$I$6,$M986='112'!$I$6))),"x",""))</f>
        <v/>
      </c>
      <c r="S986" s="55" t="str">
        <f>IF(ISERROR(FIND('112'!$M$9,G986,1)),"",IF((AND(LEFT(G986,2)=LEFT('112'!$M$9,2),B986&lt;'112'!$N$8,$L986='112'!$I$6)),"x",""))</f>
        <v/>
      </c>
      <c r="T986" s="55" t="str">
        <f>IF(ISERROR(FIND('112'!$M$9,G986,1)),"",IF((AND(RIGHT(G986,2)=RIGHT('112'!$M$9,2),B986&lt;'112'!$N$8,$M986='112'!$I$6)),"x",""))</f>
        <v/>
      </c>
      <c r="U986" s="55" t="str">
        <f>IF(AND('3411-CT'!$F$9=H986,OR(LEFT(L986,3)=$U$7,LEFT(M986,3)=$U$7)),"x","")</f>
        <v/>
      </c>
      <c r="V986" s="55" t="str">
        <f>IF(OR(TH!L986=TH!$V$7,M986=TH!$V$7),"x","")</f>
        <v/>
      </c>
      <c r="W986" s="55" t="str">
        <f>IF(AND(OR(L986="131",M986="131"),H986='131-CT'!$E$7),"x","")</f>
        <v/>
      </c>
      <c r="X986" s="55" t="str">
        <f>IF(AND(B986&gt;='IN-NX'!$P$3,B986&lt;='IN-NX'!$Q$3,'IN-NX'!$D$7=D986,OR(LEFT(TH!L986,2)="15",LEFT(TH!M986,2)="15")),"x","")</f>
        <v/>
      </c>
      <c r="Y986" s="55" t="str">
        <f>IF(AND(OR(LEFT(TH!L986,2)="15",LEFT(TH!M986,2)="15"),'152-CT'!$J$8=TH!F986),"x","")</f>
        <v/>
      </c>
      <c r="Z986" s="55" t="str">
        <f>IF(AND(OR(LEFT(TH!L986,2)="15",LEFT(TH!M986,2)="15"),TK!$E$7=TH!F986),"x","")</f>
        <v/>
      </c>
      <c r="AA986" s="55" t="str">
        <f>IF(AND(B986&lt;=NKC!$N$8,B986&gt;=NKC!$M$8),"x","")</f>
        <v/>
      </c>
    </row>
    <row r="987" spans="1:29" ht="15.75" customHeight="1">
      <c r="A987" s="219" t="str">
        <f>IF(B987&lt;&gt;"",IF(AND(B987&gt;=_TM1,B987&lt;=_TM2,OR(TH!L987="1111",TH!M987="1111")),TH!D987,""),"")</f>
        <v/>
      </c>
      <c r="B987" s="36">
        <f t="shared" si="42"/>
        <v>2</v>
      </c>
      <c r="C987" s="205">
        <f t="shared" si="40"/>
        <v>40956</v>
      </c>
      <c r="D987" s="205"/>
      <c r="E987" s="205">
        <v>40956</v>
      </c>
      <c r="F987" s="206" t="s">
        <v>1185</v>
      </c>
      <c r="G987" s="581" t="s">
        <v>1184</v>
      </c>
      <c r="H987" s="7" t="s">
        <v>1135</v>
      </c>
      <c r="I987" s="277"/>
      <c r="J987" s="277"/>
      <c r="K987" s="698">
        <v>575000</v>
      </c>
      <c r="L987" s="208" t="s">
        <v>311</v>
      </c>
      <c r="M987" s="208" t="s">
        <v>549</v>
      </c>
      <c r="N987" s="55" t="str">
        <f>IF(AND('331-CT'!$E$7=TH!H987,OR(L987="331",M987="331")),"x","")</f>
        <v/>
      </c>
      <c r="O987" s="55" t="str">
        <f>IF(AND($B987&gt;='111'!$N$11,$B987&lt;='111'!$O$11,OR($L987=$O$7,$M987=$O$7)),"x","")</f>
        <v/>
      </c>
      <c r="P987" s="55" t="str">
        <f>IF(AND($L987=$O$7,$B987&lt;'111'!$N$11),"x","")</f>
        <v/>
      </c>
      <c r="Q987" s="55" t="str">
        <f>IF(AND($M987=$O$7,$B987&lt;'111'!$N$11),"x","")</f>
        <v/>
      </c>
      <c r="R987" s="55" t="str">
        <f>IF(ISERROR(FIND('112'!$M$9,G987,1)),"",IF((AND(FIND('112'!$M$9,G987,1)&gt;=1,$B987&gt;='112'!$N$8,$B987&lt;='112'!$O$8,OR($L987='112'!$I$6,$M987='112'!$I$6))),"x",""))</f>
        <v/>
      </c>
      <c r="S987" s="55" t="str">
        <f>IF(ISERROR(FIND('112'!$M$9,G987,1)),"",IF((AND(LEFT(G987,2)=LEFT('112'!$M$9,2),B987&lt;'112'!$N$8,$L987='112'!$I$6)),"x",""))</f>
        <v/>
      </c>
      <c r="T987" s="55" t="str">
        <f>IF(ISERROR(FIND('112'!$M$9,G987,1)),"",IF((AND(RIGHT(G987,2)=RIGHT('112'!$M$9,2),B987&lt;'112'!$N$8,$M987='112'!$I$6)),"x",""))</f>
        <v/>
      </c>
      <c r="U987" s="55" t="str">
        <f>IF(AND('3411-CT'!$F$9=H987,OR(LEFT(L987,3)=$U$7,LEFT(M987,3)=$U$7)),"x","")</f>
        <v/>
      </c>
      <c r="V987" s="55" t="str">
        <f>IF(OR(TH!L987=TH!$V$7,M987=TH!$V$7),"x","")</f>
        <v/>
      </c>
      <c r="W987" s="55" t="str">
        <f>IF(AND(OR(L987="131",M987="131"),H987='131-CT'!$E$7),"x","")</f>
        <v/>
      </c>
      <c r="X987" s="55" t="str">
        <f>IF(AND(B987&gt;='IN-NX'!$P$3,B987&lt;='IN-NX'!$Q$3,'IN-NX'!$D$7=D987,OR(LEFT(TH!L987,2)="15",LEFT(TH!M987,2)="15")),"x","")</f>
        <v/>
      </c>
      <c r="Y987" s="55" t="str">
        <f>IF(AND(OR(LEFT(TH!L987,2)="15",LEFT(TH!M987,2)="15"),'152-CT'!$J$8=TH!F987),"x","")</f>
        <v/>
      </c>
      <c r="Z987" s="55" t="str">
        <f>IF(AND(OR(LEFT(TH!L987,2)="15",LEFT(TH!M987,2)="15"),TK!$E$7=TH!F987),"x","")</f>
        <v/>
      </c>
      <c r="AA987" s="55" t="str">
        <f>IF(AND(B987&lt;=NKC!$N$8,B987&gt;=NKC!$M$8),"x","")</f>
        <v/>
      </c>
      <c r="AC987" s="226"/>
    </row>
    <row r="988" spans="1:29" ht="15.75" customHeight="1">
      <c r="A988" s="219" t="str">
        <f>IF(B988&lt;&gt;"",IF(AND(B988&gt;=_TM1,B988&lt;=_TM2,OR(TH!L988="1111",TH!M988="1111")),TH!D988,""),"")</f>
        <v/>
      </c>
      <c r="B988" s="36">
        <f t="shared" si="42"/>
        <v>2</v>
      </c>
      <c r="C988" s="205">
        <f t="shared" si="40"/>
        <v>40962</v>
      </c>
      <c r="D988" s="205"/>
      <c r="E988" s="205">
        <v>40962</v>
      </c>
      <c r="F988" s="206" t="s">
        <v>1186</v>
      </c>
      <c r="G988" s="581" t="s">
        <v>1187</v>
      </c>
      <c r="H988" s="207" t="s">
        <v>1188</v>
      </c>
      <c r="I988" s="277">
        <v>100</v>
      </c>
      <c r="J988" s="277">
        <v>9470</v>
      </c>
      <c r="K988" s="698">
        <f t="shared" si="43"/>
        <v>947000</v>
      </c>
      <c r="L988" s="208" t="s">
        <v>49</v>
      </c>
      <c r="M988" s="208" t="s">
        <v>208</v>
      </c>
      <c r="N988" s="55" t="str">
        <f>IF(AND('331-CT'!$E$7=TH!H988,OR(L988="331",M988="331")),"x","")</f>
        <v/>
      </c>
      <c r="O988" s="55" t="str">
        <f>IF(AND($B988&gt;='111'!$N$11,$B988&lt;='111'!$O$11,OR($L988=$O$7,$M988=$O$7)),"x","")</f>
        <v/>
      </c>
      <c r="P988" s="55" t="str">
        <f>IF(AND($L988=$O$7,$B988&lt;'111'!$N$11),"x","")</f>
        <v>x</v>
      </c>
      <c r="Q988" s="55" t="str">
        <f>IF(AND($M988=$O$7,$B988&lt;'111'!$N$11),"x","")</f>
        <v/>
      </c>
      <c r="R988" s="55" t="str">
        <f>IF(ISERROR(FIND('112'!$M$9,G988,1)),"",IF((AND(FIND('112'!$M$9,G988,1)&gt;=1,$B988&gt;='112'!$N$8,$B988&lt;='112'!$O$8,OR($L988='112'!$I$6,$M988='112'!$I$6))),"x",""))</f>
        <v/>
      </c>
      <c r="S988" s="55" t="str">
        <f>IF(ISERROR(FIND('112'!$M$9,G988,1)),"",IF((AND(LEFT(G988,2)=LEFT('112'!$M$9,2),B988&lt;'112'!$N$8,$L988='112'!$I$6)),"x",""))</f>
        <v/>
      </c>
      <c r="T988" s="55" t="str">
        <f>IF(ISERROR(FIND('112'!$M$9,G988,1)),"",IF((AND(RIGHT(G988,2)=RIGHT('112'!$M$9,2),B988&lt;'112'!$N$8,$M988='112'!$I$6)),"x",""))</f>
        <v/>
      </c>
      <c r="U988" s="55" t="str">
        <f>IF(AND('3411-CT'!$F$9=H988,OR(LEFT(L988,3)=$U$7,LEFT(M988,3)=$U$7)),"x","")</f>
        <v/>
      </c>
      <c r="V988" s="55" t="str">
        <f>IF(OR(TH!L988=TH!$V$7,M988=TH!$V$7),"x","")</f>
        <v/>
      </c>
      <c r="W988" s="55" t="str">
        <f>IF(AND(OR(L988="131",M988="131"),H988='131-CT'!$E$7),"x","")</f>
        <v/>
      </c>
      <c r="X988" s="55" t="str">
        <f>IF(AND(B988&gt;='IN-NX'!$P$3,B988&lt;='IN-NX'!$Q$3,'IN-NX'!$D$7=D988,OR(LEFT(TH!L988,2)="15",LEFT(TH!M988,2)="15")),"x","")</f>
        <v/>
      </c>
      <c r="Y988" s="55" t="str">
        <f>IF(AND(OR(LEFT(TH!L988,2)="15",LEFT(TH!M988,2)="15"),'152-CT'!$J$8=TH!F988),"x","")</f>
        <v/>
      </c>
      <c r="Z988" s="55" t="str">
        <f>IF(AND(OR(LEFT(TH!L988,2)="15",LEFT(TH!M988,2)="15"),TK!$E$7=TH!F988),"x","")</f>
        <v/>
      </c>
      <c r="AA988" s="55" t="str">
        <f>IF(AND(B988&lt;=NKC!$N$8,B988&gt;=NKC!$M$8),"x","")</f>
        <v/>
      </c>
    </row>
    <row r="989" spans="1:29" ht="15.75" customHeight="1">
      <c r="A989" s="219" t="str">
        <f>IF(B989&lt;&gt;"",IF(AND(B989&gt;=_TM1,B989&lt;=_TM2,OR(TH!L989="1111",TH!M989="1111")),TH!D989,""),"")</f>
        <v/>
      </c>
      <c r="B989" s="36">
        <f t="shared" si="42"/>
        <v>2</v>
      </c>
      <c r="C989" s="205">
        <f t="shared" si="40"/>
        <v>40962</v>
      </c>
      <c r="D989" s="205"/>
      <c r="E989" s="205">
        <v>40962</v>
      </c>
      <c r="F989" s="206" t="s">
        <v>1185</v>
      </c>
      <c r="G989" s="581" t="s">
        <v>1187</v>
      </c>
      <c r="H989" s="207" t="s">
        <v>1188</v>
      </c>
      <c r="I989" s="277"/>
      <c r="J989" s="277"/>
      <c r="K989" s="698">
        <v>94700</v>
      </c>
      <c r="L989" s="208" t="s">
        <v>49</v>
      </c>
      <c r="M989" s="208" t="s">
        <v>549</v>
      </c>
      <c r="N989" s="55" t="str">
        <f>IF(AND('331-CT'!$E$7=TH!H989,OR(L989="331",M989="331")),"x","")</f>
        <v/>
      </c>
      <c r="O989" s="55" t="str">
        <f>IF(AND($B989&gt;='111'!$N$11,$B989&lt;='111'!$O$11,OR($L989=$O$7,$M989=$O$7)),"x","")</f>
        <v/>
      </c>
      <c r="P989" s="55" t="str">
        <f>IF(AND($L989=$O$7,$B989&lt;'111'!$N$11),"x","")</f>
        <v>x</v>
      </c>
      <c r="Q989" s="55" t="str">
        <f>IF(AND($M989=$O$7,$B989&lt;'111'!$N$11),"x","")</f>
        <v/>
      </c>
      <c r="R989" s="55" t="str">
        <f>IF(ISERROR(FIND('112'!$M$9,G989,1)),"",IF((AND(FIND('112'!$M$9,G989,1)&gt;=1,$B989&gt;='112'!$N$8,$B989&lt;='112'!$O$8,OR($L989='112'!$I$6,$M989='112'!$I$6))),"x",""))</f>
        <v/>
      </c>
      <c r="S989" s="55" t="str">
        <f>IF(ISERROR(FIND('112'!$M$9,G989,1)),"",IF((AND(LEFT(G989,2)=LEFT('112'!$M$9,2),B989&lt;'112'!$N$8,$L989='112'!$I$6)),"x",""))</f>
        <v/>
      </c>
      <c r="T989" s="55" t="str">
        <f>IF(ISERROR(FIND('112'!$M$9,G989,1)),"",IF((AND(RIGHT(G989,2)=RIGHT('112'!$M$9,2),B989&lt;'112'!$N$8,$M989='112'!$I$6)),"x",""))</f>
        <v/>
      </c>
      <c r="U989" s="55" t="str">
        <f>IF(AND('3411-CT'!$F$9=H989,OR(LEFT(L989,3)=$U$7,LEFT(M989,3)=$U$7)),"x","")</f>
        <v/>
      </c>
      <c r="V989" s="55" t="str">
        <f>IF(OR(TH!L989=TH!$V$7,M989=TH!$V$7),"x","")</f>
        <v/>
      </c>
      <c r="W989" s="55" t="str">
        <f>IF(AND(OR(L989="131",M989="131"),H989='131-CT'!$E$7),"x","")</f>
        <v/>
      </c>
      <c r="X989" s="55" t="str">
        <f>IF(AND(B989&gt;='IN-NX'!$P$3,B989&lt;='IN-NX'!$Q$3,'IN-NX'!$D$7=D989,OR(LEFT(TH!L989,2)="15",LEFT(TH!M989,2)="15")),"x","")</f>
        <v/>
      </c>
      <c r="Y989" s="55" t="str">
        <f>IF(AND(OR(LEFT(TH!L989,2)="15",LEFT(TH!M989,2)="15"),'152-CT'!$J$8=TH!F989),"x","")</f>
        <v/>
      </c>
      <c r="Z989" s="55" t="str">
        <f>IF(AND(OR(LEFT(TH!L989,2)="15",LEFT(TH!M989,2)="15"),TK!$E$7=TH!F989),"x","")</f>
        <v/>
      </c>
      <c r="AA989" s="55" t="str">
        <f>IF(AND(B989&lt;=NKC!$N$8,B989&gt;=NKC!$M$8),"x","")</f>
        <v/>
      </c>
      <c r="AC989" s="226"/>
    </row>
    <row r="990" spans="1:29" ht="15.75" customHeight="1">
      <c r="A990" s="219" t="str">
        <f>IF(B990&lt;&gt;"",IF(AND(B990&gt;=_TM1,B990&lt;=_TM2,OR(TH!L990="1111",TH!M990="1111")),TH!D990,""),"")</f>
        <v/>
      </c>
      <c r="B990" s="36">
        <f t="shared" si="42"/>
        <v>3</v>
      </c>
      <c r="C990" s="205">
        <f t="shared" si="40"/>
        <v>40971</v>
      </c>
      <c r="D990" s="205"/>
      <c r="E990" s="205">
        <v>40971</v>
      </c>
      <c r="F990" s="206" t="s">
        <v>1189</v>
      </c>
      <c r="G990" s="581" t="s">
        <v>1190</v>
      </c>
      <c r="H990" s="7" t="s">
        <v>1131</v>
      </c>
      <c r="I990" s="277">
        <v>490</v>
      </c>
      <c r="J990" s="277">
        <v>12790</v>
      </c>
      <c r="K990" s="698">
        <f t="shared" si="43"/>
        <v>6267100</v>
      </c>
      <c r="L990" s="208" t="s">
        <v>311</v>
      </c>
      <c r="M990" s="208" t="s">
        <v>208</v>
      </c>
      <c r="N990" s="55" t="str">
        <f>IF(AND('331-CT'!$E$7=TH!H990,OR(L990="331",M990="331")),"x","")</f>
        <v/>
      </c>
      <c r="O990" s="55" t="str">
        <f>IF(AND($B990&gt;='111'!$N$11,$B990&lt;='111'!$O$11,OR($L990=$O$7,$M990=$O$7)),"x","")</f>
        <v/>
      </c>
      <c r="P990" s="55" t="str">
        <f>IF(AND($L990=$O$7,$B990&lt;'111'!$N$11),"x","")</f>
        <v/>
      </c>
      <c r="Q990" s="55" t="str">
        <f>IF(AND($M990=$O$7,$B990&lt;'111'!$N$11),"x","")</f>
        <v/>
      </c>
      <c r="R990" s="55" t="str">
        <f>IF(ISERROR(FIND('112'!$M$9,G990,1)),"",IF((AND(FIND('112'!$M$9,G990,1)&gt;=1,$B990&gt;='112'!$N$8,$B990&lt;='112'!$O$8,OR($L990='112'!$I$6,$M990='112'!$I$6))),"x",""))</f>
        <v/>
      </c>
      <c r="S990" s="55" t="str">
        <f>IF(ISERROR(FIND('112'!$M$9,G990,1)),"",IF((AND(LEFT(G990,2)=LEFT('112'!$M$9,2),B990&lt;'112'!$N$8,$L990='112'!$I$6)),"x",""))</f>
        <v/>
      </c>
      <c r="T990" s="55" t="str">
        <f>IF(ISERROR(FIND('112'!$M$9,G990,1)),"",IF((AND(RIGHT(G990,2)=RIGHT('112'!$M$9,2),B990&lt;'112'!$N$8,$M990='112'!$I$6)),"x",""))</f>
        <v/>
      </c>
      <c r="U990" s="55" t="str">
        <f>IF(AND('3411-CT'!$F$9=H990,OR(LEFT(L990,3)=$U$7,LEFT(M990,3)=$U$7)),"x","")</f>
        <v/>
      </c>
      <c r="V990" s="55" t="str">
        <f>IF(OR(TH!L990=TH!$V$7,M990=TH!$V$7),"x","")</f>
        <v/>
      </c>
      <c r="W990" s="55" t="str">
        <f>IF(AND(OR(L990="131",M990="131"),H990='131-CT'!$E$7),"x","")</f>
        <v/>
      </c>
      <c r="X990" s="55" t="str">
        <f>IF(AND(B990&gt;='IN-NX'!$P$3,B990&lt;='IN-NX'!$Q$3,'IN-NX'!$D$7=D990,OR(LEFT(TH!L990,2)="15",LEFT(TH!M990,2)="15")),"x","")</f>
        <v/>
      </c>
      <c r="Y990" s="55" t="str">
        <f>IF(AND(OR(LEFT(TH!L990,2)="15",LEFT(TH!M990,2)="15"),'152-CT'!$J$8=TH!F990),"x","")</f>
        <v/>
      </c>
      <c r="Z990" s="55" t="str">
        <f>IF(AND(OR(LEFT(TH!L990,2)="15",LEFT(TH!M990,2)="15"),TK!$E$7=TH!F990),"x","")</f>
        <v/>
      </c>
      <c r="AA990" s="55" t="str">
        <f>IF(AND(B990&lt;=NKC!$N$8,B990&gt;=NKC!$M$8),"x","")</f>
        <v/>
      </c>
    </row>
    <row r="991" spans="1:29" ht="15.75" customHeight="1">
      <c r="A991" s="219" t="str">
        <f>IF(B991&lt;&gt;"",IF(AND(B991&gt;=_TM1,B991&lt;=_TM2,OR(TH!L991="1111",TH!M991="1111")),TH!D991,""),"")</f>
        <v/>
      </c>
      <c r="B991" s="36">
        <f t="shared" si="42"/>
        <v>3</v>
      </c>
      <c r="C991" s="205">
        <f t="shared" si="40"/>
        <v>40971</v>
      </c>
      <c r="D991" s="205"/>
      <c r="E991" s="205">
        <v>40971</v>
      </c>
      <c r="F991" s="206" t="s">
        <v>1185</v>
      </c>
      <c r="G991" s="581" t="s">
        <v>1190</v>
      </c>
      <c r="H991" s="7" t="s">
        <v>1131</v>
      </c>
      <c r="I991" s="277"/>
      <c r="J991" s="277"/>
      <c r="K991" s="698">
        <v>626710</v>
      </c>
      <c r="L991" s="208" t="s">
        <v>311</v>
      </c>
      <c r="M991" s="208" t="s">
        <v>549</v>
      </c>
      <c r="N991" s="55" t="str">
        <f>IF(AND('331-CT'!$E$7=TH!H991,OR(L991="331",M991="331")),"x","")</f>
        <v/>
      </c>
      <c r="O991" s="55" t="str">
        <f>IF(AND($B991&gt;='111'!$N$11,$B991&lt;='111'!$O$11,OR($L991=$O$7,$M991=$O$7)),"x","")</f>
        <v/>
      </c>
      <c r="P991" s="55" t="str">
        <f>IF(AND($L991=$O$7,$B991&lt;'111'!$N$11),"x","")</f>
        <v/>
      </c>
      <c r="Q991" s="55" t="str">
        <f>IF(AND($M991=$O$7,$B991&lt;'111'!$N$11),"x","")</f>
        <v/>
      </c>
      <c r="R991" s="55" t="str">
        <f>IF(ISERROR(FIND('112'!$M$9,G991,1)),"",IF((AND(FIND('112'!$M$9,G991,1)&gt;=1,$B991&gt;='112'!$N$8,$B991&lt;='112'!$O$8,OR($L991='112'!$I$6,$M991='112'!$I$6))),"x",""))</f>
        <v/>
      </c>
      <c r="S991" s="55" t="str">
        <f>IF(ISERROR(FIND('112'!$M$9,G991,1)),"",IF((AND(LEFT(G991,2)=LEFT('112'!$M$9,2),B991&lt;'112'!$N$8,$L991='112'!$I$6)),"x",""))</f>
        <v/>
      </c>
      <c r="T991" s="55" t="str">
        <f>IF(ISERROR(FIND('112'!$M$9,G991,1)),"",IF((AND(RIGHT(G991,2)=RIGHT('112'!$M$9,2),B991&lt;'112'!$N$8,$M991='112'!$I$6)),"x",""))</f>
        <v/>
      </c>
      <c r="U991" s="55" t="str">
        <f>IF(AND('3411-CT'!$F$9=H991,OR(LEFT(L991,3)=$U$7,LEFT(M991,3)=$U$7)),"x","")</f>
        <v/>
      </c>
      <c r="V991" s="55" t="str">
        <f>IF(OR(TH!L991=TH!$V$7,M991=TH!$V$7),"x","")</f>
        <v/>
      </c>
      <c r="W991" s="55" t="str">
        <f>IF(AND(OR(L991="131",M991="131"),H991='131-CT'!$E$7),"x","")</f>
        <v/>
      </c>
      <c r="X991" s="55" t="str">
        <f>IF(AND(B991&gt;='IN-NX'!$P$3,B991&lt;='IN-NX'!$Q$3,'IN-NX'!$D$7=D991,OR(LEFT(TH!L991,2)="15",LEFT(TH!M991,2)="15")),"x","")</f>
        <v/>
      </c>
      <c r="Y991" s="55" t="str">
        <f>IF(AND(OR(LEFT(TH!L991,2)="15",LEFT(TH!M991,2)="15"),'152-CT'!$J$8=TH!F991),"x","")</f>
        <v/>
      </c>
      <c r="Z991" s="55" t="str">
        <f>IF(AND(OR(LEFT(TH!L991,2)="15",LEFT(TH!M991,2)="15"),TK!$E$7=TH!F991),"x","")</f>
        <v/>
      </c>
      <c r="AA991" s="55" t="str">
        <f>IF(AND(B991&lt;=NKC!$N$8,B991&gt;=NKC!$M$8),"x","")</f>
        <v/>
      </c>
      <c r="AC991" s="226"/>
    </row>
    <row r="992" spans="1:29" s="226" customFormat="1" ht="15.75" customHeight="1">
      <c r="A992" s="219" t="str">
        <f>IF(B992&lt;&gt;"",IF(AND(B992&gt;=_TM1,B992&lt;=_TM2,OR(TH!L992="1111",TH!M992="1111")),TH!D992,""),"")</f>
        <v/>
      </c>
      <c r="B992" s="36">
        <f t="shared" si="39"/>
        <v>3</v>
      </c>
      <c r="C992" s="205">
        <f t="shared" si="40"/>
        <v>40971</v>
      </c>
      <c r="D992" s="205"/>
      <c r="E992" s="205">
        <v>40971</v>
      </c>
      <c r="F992" s="206" t="s">
        <v>1191</v>
      </c>
      <c r="G992" s="581" t="s">
        <v>1192</v>
      </c>
      <c r="H992" s="207" t="s">
        <v>1133</v>
      </c>
      <c r="I992" s="277"/>
      <c r="J992" s="277"/>
      <c r="K992" s="698">
        <v>20006100</v>
      </c>
      <c r="L992" s="208" t="s">
        <v>311</v>
      </c>
      <c r="M992" s="208" t="s">
        <v>208</v>
      </c>
      <c r="N992" s="55" t="str">
        <f>IF(AND('331-CT'!$E$7=TH!H992,OR(L992="331",M992="331")),"x","")</f>
        <v/>
      </c>
      <c r="O992" s="55" t="str">
        <f>IF(AND($B992&gt;='111'!$N$11,$B992&lt;='111'!$O$11,OR($L992=$O$7,$M992=$O$7)),"x","")</f>
        <v/>
      </c>
      <c r="P992" s="55" t="str">
        <f>IF(AND($L992=$O$7,$B992&lt;'111'!$N$11),"x","")</f>
        <v/>
      </c>
      <c r="Q992" s="55" t="str">
        <f>IF(AND($M992=$O$7,$B992&lt;'111'!$N$11),"x","")</f>
        <v/>
      </c>
      <c r="R992" s="55" t="str">
        <f>IF(ISERROR(FIND('112'!$M$9,G992,1)),"",IF((AND(FIND('112'!$M$9,G992,1)&gt;=1,$B992&gt;='112'!$N$8,$B992&lt;='112'!$O$8,OR($L992='112'!$I$6,$M992='112'!$I$6))),"x",""))</f>
        <v/>
      </c>
      <c r="S992" s="55" t="str">
        <f>IF(ISERROR(FIND('112'!$M$9,G992,1)),"",IF((AND(LEFT(G992,2)=LEFT('112'!$M$9,2),B992&lt;'112'!$N$8,$L992='112'!$I$6)),"x",""))</f>
        <v/>
      </c>
      <c r="T992" s="55" t="str">
        <f>IF(ISERROR(FIND('112'!$M$9,G992,1)),"",IF((AND(RIGHT(G992,2)=RIGHT('112'!$M$9,2),B992&lt;'112'!$N$8,$M992='112'!$I$6)),"x",""))</f>
        <v/>
      </c>
      <c r="U992" s="55" t="str">
        <f>IF(AND('3411-CT'!$F$9=H992,OR(LEFT(L992,3)=$U$7,LEFT(M992,3)=$U$7)),"x","")</f>
        <v/>
      </c>
      <c r="V992" s="55" t="str">
        <f>IF(OR(TH!L992=TH!$V$7,M992=TH!$V$7),"x","")</f>
        <v/>
      </c>
      <c r="W992" s="55" t="str">
        <f>IF(AND(OR(L992="131",M992="131"),H992='131-CT'!$E$7),"x","")</f>
        <v/>
      </c>
      <c r="X992" s="55" t="str">
        <f>IF(AND(B992&gt;='IN-NX'!$P$3,B992&lt;='IN-NX'!$Q$3,'IN-NX'!$D$7=D992,OR(LEFT(TH!L992,2)="15",LEFT(TH!M992,2)="15")),"x","")</f>
        <v/>
      </c>
      <c r="Y992" s="55" t="str">
        <f>IF(AND(OR(LEFT(TH!L992,2)="15",LEFT(TH!M992,2)="15"),'152-CT'!$J$8=TH!F992),"x","")</f>
        <v/>
      </c>
      <c r="Z992" s="55" t="str">
        <f>IF(AND(OR(LEFT(TH!L992,2)="15",LEFT(TH!M992,2)="15"),TK!$E$7=TH!F992),"x","")</f>
        <v/>
      </c>
      <c r="AA992" s="55" t="str">
        <f>IF(AND(B992&lt;=NKC!$N$8,B992&gt;=NKC!$M$8),"x","")</f>
        <v/>
      </c>
    </row>
    <row r="993" spans="1:29" s="226" customFormat="1" ht="15.75" customHeight="1">
      <c r="A993" s="219" t="str">
        <f>IF(B993&lt;&gt;"",IF(AND(B993&gt;=_TM1,B993&lt;=_TM2,OR(TH!L993="1111",TH!M993="1111")),TH!D993,""),"")</f>
        <v/>
      </c>
      <c r="B993" s="36">
        <f t="shared" si="39"/>
        <v>3</v>
      </c>
      <c r="C993" s="205">
        <f t="shared" si="40"/>
        <v>40971</v>
      </c>
      <c r="D993" s="205"/>
      <c r="E993" s="205">
        <v>40971</v>
      </c>
      <c r="F993" s="206" t="s">
        <v>1185</v>
      </c>
      <c r="G993" s="581" t="s">
        <v>1192</v>
      </c>
      <c r="H993" s="207" t="s">
        <v>1133</v>
      </c>
      <c r="I993" s="277"/>
      <c r="J993" s="277"/>
      <c r="K993" s="698">
        <v>2000610</v>
      </c>
      <c r="L993" s="208" t="s">
        <v>311</v>
      </c>
      <c r="M993" s="208" t="s">
        <v>549</v>
      </c>
      <c r="N993" s="55" t="str">
        <f>IF(AND('331-CT'!$E$7=TH!H993,OR(L993="331",M993="331")),"x","")</f>
        <v/>
      </c>
      <c r="O993" s="55" t="str">
        <f>IF(AND($B993&gt;='111'!$N$11,$B993&lt;='111'!$O$11,OR($L993=$O$7,$M993=$O$7)),"x","")</f>
        <v/>
      </c>
      <c r="P993" s="55" t="str">
        <f>IF(AND($L993=$O$7,$B993&lt;'111'!$N$11),"x","")</f>
        <v/>
      </c>
      <c r="Q993" s="55" t="str">
        <f>IF(AND($M993=$O$7,$B993&lt;'111'!$N$11),"x","")</f>
        <v/>
      </c>
      <c r="R993" s="55" t="str">
        <f>IF(ISERROR(FIND('112'!$M$9,G993,1)),"",IF((AND(FIND('112'!$M$9,G993,1)&gt;=1,$B993&gt;='112'!$N$8,$B993&lt;='112'!$O$8,OR($L993='112'!$I$6,$M993='112'!$I$6))),"x",""))</f>
        <v/>
      </c>
      <c r="S993" s="55" t="str">
        <f>IF(ISERROR(FIND('112'!$M$9,G993,1)),"",IF((AND(LEFT(G993,2)=LEFT('112'!$M$9,2),B993&lt;'112'!$N$8,$L993='112'!$I$6)),"x",""))</f>
        <v/>
      </c>
      <c r="T993" s="55" t="str">
        <f>IF(ISERROR(FIND('112'!$M$9,G993,1)),"",IF((AND(RIGHT(G993,2)=RIGHT('112'!$M$9,2),B993&lt;'112'!$N$8,$M993='112'!$I$6)),"x",""))</f>
        <v/>
      </c>
      <c r="U993" s="55" t="str">
        <f>IF(AND('3411-CT'!$F$9=H993,OR(LEFT(L993,3)=$U$7,LEFT(M993,3)=$U$7)),"x","")</f>
        <v/>
      </c>
      <c r="V993" s="55" t="str">
        <f>IF(OR(TH!L993=TH!$V$7,M993=TH!$V$7),"x","")</f>
        <v/>
      </c>
      <c r="W993" s="55" t="str">
        <f>IF(AND(OR(L993="131",M993="131"),H993='131-CT'!$E$7),"x","")</f>
        <v/>
      </c>
      <c r="X993" s="55" t="str">
        <f>IF(AND(B993&gt;='IN-NX'!$P$3,B993&lt;='IN-NX'!$Q$3,'IN-NX'!$D$7=D993,OR(LEFT(TH!L993,2)="15",LEFT(TH!M993,2)="15")),"x","")</f>
        <v/>
      </c>
      <c r="Y993" s="55" t="str">
        <f>IF(AND(OR(LEFT(TH!L993,2)="15",LEFT(TH!M993,2)="15"),'152-CT'!$J$8=TH!F993),"x","")</f>
        <v/>
      </c>
      <c r="Z993" s="55" t="str">
        <f>IF(AND(OR(LEFT(TH!L993,2)="15",LEFT(TH!M993,2)="15"),TK!$E$7=TH!F993),"x","")</f>
        <v/>
      </c>
      <c r="AA993" s="55" t="str">
        <f>IF(AND(B993&lt;=NKC!$N$8,B993&gt;=NKC!$M$8),"x","")</f>
        <v/>
      </c>
    </row>
    <row r="994" spans="1:29" s="226" customFormat="1" ht="15.75" customHeight="1">
      <c r="A994" s="219" t="str">
        <f>IF(B994&lt;&gt;"",IF(AND(B994&gt;=_TM1,B994&lt;=_TM2,OR(TH!L994="1111",TH!M994="1111")),TH!D994,""),"")</f>
        <v/>
      </c>
      <c r="B994" s="36">
        <f t="shared" si="39"/>
        <v>3</v>
      </c>
      <c r="C994" s="205">
        <f t="shared" si="40"/>
        <v>40974</v>
      </c>
      <c r="D994" s="205"/>
      <c r="E994" s="205">
        <v>40974</v>
      </c>
      <c r="F994" s="206" t="s">
        <v>1186</v>
      </c>
      <c r="G994" s="581" t="s">
        <v>1193</v>
      </c>
      <c r="H994" s="207" t="s">
        <v>1188</v>
      </c>
      <c r="I994" s="277">
        <v>230</v>
      </c>
      <c r="J994" s="277">
        <v>9470</v>
      </c>
      <c r="K994" s="698">
        <f t="shared" si="43"/>
        <v>2178100</v>
      </c>
      <c r="L994" s="208" t="s">
        <v>49</v>
      </c>
      <c r="M994" s="208" t="s">
        <v>208</v>
      </c>
      <c r="N994" s="55" t="str">
        <f>IF(AND('331-CT'!$E$7=TH!H994,OR(L994="331",M994="331")),"x","")</f>
        <v/>
      </c>
      <c r="O994" s="55" t="str">
        <f>IF(AND($B994&gt;='111'!$N$11,$B994&lt;='111'!$O$11,OR($L994=$O$7,$M994=$O$7)),"x","")</f>
        <v/>
      </c>
      <c r="P994" s="55" t="str">
        <f>IF(AND($L994=$O$7,$B994&lt;'111'!$N$11),"x","")</f>
        <v>x</v>
      </c>
      <c r="Q994" s="55" t="str">
        <f>IF(AND($M994=$O$7,$B994&lt;'111'!$N$11),"x","")</f>
        <v/>
      </c>
      <c r="R994" s="55" t="str">
        <f>IF(ISERROR(FIND('112'!$M$9,G994,1)),"",IF((AND(FIND('112'!$M$9,G994,1)&gt;=1,$B994&gt;='112'!$N$8,$B994&lt;='112'!$O$8,OR($L994='112'!$I$6,$M994='112'!$I$6))),"x",""))</f>
        <v/>
      </c>
      <c r="S994" s="55" t="str">
        <f>IF(ISERROR(FIND('112'!$M$9,G994,1)),"",IF((AND(LEFT(G994,2)=LEFT('112'!$M$9,2),B994&lt;'112'!$N$8,$L994='112'!$I$6)),"x",""))</f>
        <v/>
      </c>
      <c r="T994" s="55" t="str">
        <f>IF(ISERROR(FIND('112'!$M$9,G994,1)),"",IF((AND(RIGHT(G994,2)=RIGHT('112'!$M$9,2),B994&lt;'112'!$N$8,$M994='112'!$I$6)),"x",""))</f>
        <v/>
      </c>
      <c r="U994" s="55" t="str">
        <f>IF(AND('3411-CT'!$F$9=H994,OR(LEFT(L994,3)=$U$7,LEFT(M994,3)=$U$7)),"x","")</f>
        <v/>
      </c>
      <c r="V994" s="55" t="str">
        <f>IF(OR(TH!L994=TH!$V$7,M994=TH!$V$7),"x","")</f>
        <v/>
      </c>
      <c r="W994" s="55" t="str">
        <f>IF(AND(OR(L994="131",M994="131"),H994='131-CT'!$E$7),"x","")</f>
        <v/>
      </c>
      <c r="X994" s="55" t="str">
        <f>IF(AND(B994&gt;='IN-NX'!$P$3,B994&lt;='IN-NX'!$Q$3,'IN-NX'!$D$7=D994,OR(LEFT(TH!L994,2)="15",LEFT(TH!M994,2)="15")),"x","")</f>
        <v/>
      </c>
      <c r="Y994" s="55" t="str">
        <f>IF(AND(OR(LEFT(TH!L994,2)="15",LEFT(TH!M994,2)="15"),'152-CT'!$J$8=TH!F994),"x","")</f>
        <v/>
      </c>
      <c r="Z994" s="55" t="str">
        <f>IF(AND(OR(LEFT(TH!L994,2)="15",LEFT(TH!M994,2)="15"),TK!$E$7=TH!F994),"x","")</f>
        <v/>
      </c>
      <c r="AA994" s="55" t="str">
        <f>IF(AND(B994&lt;=NKC!$N$8,B994&gt;=NKC!$M$8),"x","")</f>
        <v/>
      </c>
    </row>
    <row r="995" spans="1:29" s="226" customFormat="1" ht="15.75" customHeight="1">
      <c r="A995" s="219" t="str">
        <f>IF(B995&lt;&gt;"",IF(AND(B995&gt;=_TM1,B995&lt;=_TM2,OR(TH!L995="1111",TH!M995="1111")),TH!D995,""),"")</f>
        <v/>
      </c>
      <c r="B995" s="36">
        <f t="shared" si="39"/>
        <v>3</v>
      </c>
      <c r="C995" s="205">
        <f t="shared" si="40"/>
        <v>40974</v>
      </c>
      <c r="D995" s="205"/>
      <c r="E995" s="205">
        <v>40974</v>
      </c>
      <c r="F995" s="206" t="s">
        <v>1185</v>
      </c>
      <c r="G995" s="581" t="s">
        <v>1193</v>
      </c>
      <c r="H995" s="207" t="s">
        <v>1188</v>
      </c>
      <c r="I995" s="277"/>
      <c r="J995" s="277"/>
      <c r="K995" s="698">
        <v>217810</v>
      </c>
      <c r="L995" s="208" t="s">
        <v>49</v>
      </c>
      <c r="M995" s="208" t="s">
        <v>549</v>
      </c>
      <c r="N995" s="55" t="str">
        <f>IF(AND('331-CT'!$E$7=TH!H995,OR(L995="331",M995="331")),"x","")</f>
        <v/>
      </c>
      <c r="O995" s="55" t="str">
        <f>IF(AND($B995&gt;='111'!$N$11,$B995&lt;='111'!$O$11,OR($L995=$O$7,$M995=$O$7)),"x","")</f>
        <v/>
      </c>
      <c r="P995" s="55" t="str">
        <f>IF(AND($L995=$O$7,$B995&lt;'111'!$N$11),"x","")</f>
        <v>x</v>
      </c>
      <c r="Q995" s="55" t="str">
        <f>IF(AND($M995=$O$7,$B995&lt;'111'!$N$11),"x","")</f>
        <v/>
      </c>
      <c r="R995" s="55" t="str">
        <f>IF(ISERROR(FIND('112'!$M$9,G995,1)),"",IF((AND(FIND('112'!$M$9,G995,1)&gt;=1,$B995&gt;='112'!$N$8,$B995&lt;='112'!$O$8,OR($L995='112'!$I$6,$M995='112'!$I$6))),"x",""))</f>
        <v/>
      </c>
      <c r="S995" s="55" t="str">
        <f>IF(ISERROR(FIND('112'!$M$9,G995,1)),"",IF((AND(LEFT(G995,2)=LEFT('112'!$M$9,2),B995&lt;'112'!$N$8,$L995='112'!$I$6)),"x",""))</f>
        <v/>
      </c>
      <c r="T995" s="55" t="str">
        <f>IF(ISERROR(FIND('112'!$M$9,G995,1)),"",IF((AND(RIGHT(G995,2)=RIGHT('112'!$M$9,2),B995&lt;'112'!$N$8,$M995='112'!$I$6)),"x",""))</f>
        <v/>
      </c>
      <c r="U995" s="55" t="str">
        <f>IF(AND('3411-CT'!$F$9=H995,OR(LEFT(L995,3)=$U$7,LEFT(M995,3)=$U$7)),"x","")</f>
        <v/>
      </c>
      <c r="V995" s="55" t="str">
        <f>IF(OR(TH!L995=TH!$V$7,M995=TH!$V$7),"x","")</f>
        <v/>
      </c>
      <c r="W995" s="55" t="str">
        <f>IF(AND(OR(L995="131",M995="131"),H995='131-CT'!$E$7),"x","")</f>
        <v/>
      </c>
      <c r="X995" s="55" t="str">
        <f>IF(AND(B995&gt;='IN-NX'!$P$3,B995&lt;='IN-NX'!$Q$3,'IN-NX'!$D$7=D995,OR(LEFT(TH!L995,2)="15",LEFT(TH!M995,2)="15")),"x","")</f>
        <v/>
      </c>
      <c r="Y995" s="55" t="str">
        <f>IF(AND(OR(LEFT(TH!L995,2)="15",LEFT(TH!M995,2)="15"),'152-CT'!$J$8=TH!F995),"x","")</f>
        <v/>
      </c>
      <c r="Z995" s="55" t="str">
        <f>IF(AND(OR(LEFT(TH!L995,2)="15",LEFT(TH!M995,2)="15"),TK!$E$7=TH!F995),"x","")</f>
        <v/>
      </c>
      <c r="AA995" s="55" t="str">
        <f>IF(AND(B995&lt;=NKC!$N$8,B995&gt;=NKC!$M$8),"x","")</f>
        <v/>
      </c>
    </row>
    <row r="996" spans="1:29" s="226" customFormat="1" ht="15.75" customHeight="1">
      <c r="A996" s="219" t="str">
        <f>IF(B996&lt;&gt;"",IF(AND(B996&gt;=_TM1,B996&lt;=_TM2,OR(TH!L996="1111",TH!M996="1111")),TH!D996,""),"")</f>
        <v/>
      </c>
      <c r="B996" s="36">
        <f t="shared" si="39"/>
        <v>3</v>
      </c>
      <c r="C996" s="205">
        <f t="shared" si="40"/>
        <v>40974</v>
      </c>
      <c r="D996" s="205"/>
      <c r="E996" s="205">
        <v>40974</v>
      </c>
      <c r="F996" s="206" t="s">
        <v>1194</v>
      </c>
      <c r="G996" s="581" t="s">
        <v>1195</v>
      </c>
      <c r="H996" s="207" t="s">
        <v>1188</v>
      </c>
      <c r="I996" s="277">
        <v>100</v>
      </c>
      <c r="J996" s="277">
        <v>18000</v>
      </c>
      <c r="K996" s="698">
        <f t="shared" si="43"/>
        <v>1800000</v>
      </c>
      <c r="L996" s="208" t="s">
        <v>49</v>
      </c>
      <c r="M996" s="208" t="s">
        <v>208</v>
      </c>
      <c r="N996" s="55" t="str">
        <f>IF(AND('331-CT'!$E$7=TH!H996,OR(L996="331",M996="331")),"x","")</f>
        <v/>
      </c>
      <c r="O996" s="55" t="str">
        <f>IF(AND($B996&gt;='111'!$N$11,$B996&lt;='111'!$O$11,OR($L996=$O$7,$M996=$O$7)),"x","")</f>
        <v/>
      </c>
      <c r="P996" s="55" t="str">
        <f>IF(AND($L996=$O$7,$B996&lt;'111'!$N$11),"x","")</f>
        <v>x</v>
      </c>
      <c r="Q996" s="55" t="str">
        <f>IF(AND($M996=$O$7,$B996&lt;'111'!$N$11),"x","")</f>
        <v/>
      </c>
      <c r="R996" s="55" t="str">
        <f>IF(ISERROR(FIND('112'!$M$9,G996,1)),"",IF((AND(FIND('112'!$M$9,G996,1)&gt;=1,$B996&gt;='112'!$N$8,$B996&lt;='112'!$O$8,OR($L996='112'!$I$6,$M996='112'!$I$6))),"x",""))</f>
        <v/>
      </c>
      <c r="S996" s="55" t="str">
        <f>IF(ISERROR(FIND('112'!$M$9,G996,1)),"",IF((AND(LEFT(G996,2)=LEFT('112'!$M$9,2),B996&lt;'112'!$N$8,$L996='112'!$I$6)),"x",""))</f>
        <v/>
      </c>
      <c r="T996" s="55" t="str">
        <f>IF(ISERROR(FIND('112'!$M$9,G996,1)),"",IF((AND(RIGHT(G996,2)=RIGHT('112'!$M$9,2),B996&lt;'112'!$N$8,$M996='112'!$I$6)),"x",""))</f>
        <v/>
      </c>
      <c r="U996" s="55" t="str">
        <f>IF(AND('3411-CT'!$F$9=H996,OR(LEFT(L996,3)=$U$7,LEFT(M996,3)=$U$7)),"x","")</f>
        <v/>
      </c>
      <c r="V996" s="55" t="str">
        <f>IF(OR(TH!L996=TH!$V$7,M996=TH!$V$7),"x","")</f>
        <v/>
      </c>
      <c r="W996" s="55" t="str">
        <f>IF(AND(OR(L996="131",M996="131"),H996='131-CT'!$E$7),"x","")</f>
        <v/>
      </c>
      <c r="X996" s="55" t="str">
        <f>IF(AND(B996&gt;='IN-NX'!$P$3,B996&lt;='IN-NX'!$Q$3,'IN-NX'!$D$7=D996,OR(LEFT(TH!L996,2)="15",LEFT(TH!M996,2)="15")),"x","")</f>
        <v/>
      </c>
      <c r="Y996" s="55" t="str">
        <f>IF(AND(OR(LEFT(TH!L996,2)="15",LEFT(TH!M996,2)="15"),'152-CT'!$J$8=TH!F996),"x","")</f>
        <v/>
      </c>
      <c r="Z996" s="55" t="str">
        <f>IF(AND(OR(LEFT(TH!L996,2)="15",LEFT(TH!M996,2)="15"),TK!$E$7=TH!F996),"x","")</f>
        <v/>
      </c>
      <c r="AA996" s="55" t="str">
        <f>IF(AND(B996&lt;=NKC!$N$8,B996&gt;=NKC!$M$8),"x","")</f>
        <v/>
      </c>
    </row>
    <row r="997" spans="1:29" s="226" customFormat="1" ht="15.75" customHeight="1">
      <c r="A997" s="219" t="str">
        <f>IF(B997&lt;&gt;"",IF(AND(B997&gt;=_TM1,B997&lt;=_TM2,OR(TH!L997="1111",TH!M997="1111")),TH!D997,""),"")</f>
        <v/>
      </c>
      <c r="B997" s="36">
        <f t="shared" si="39"/>
        <v>3</v>
      </c>
      <c r="C997" s="205">
        <f t="shared" si="40"/>
        <v>40974</v>
      </c>
      <c r="D997" s="205"/>
      <c r="E997" s="205">
        <v>40974</v>
      </c>
      <c r="F997" s="206" t="s">
        <v>1185</v>
      </c>
      <c r="G997" s="581" t="s">
        <v>1195</v>
      </c>
      <c r="H997" s="207" t="s">
        <v>1188</v>
      </c>
      <c r="I997" s="277"/>
      <c r="J997" s="277"/>
      <c r="K997" s="698">
        <v>180000</v>
      </c>
      <c r="L997" s="208" t="s">
        <v>49</v>
      </c>
      <c r="M997" s="208" t="s">
        <v>549</v>
      </c>
      <c r="N997" s="55" t="str">
        <f>IF(AND('331-CT'!$E$7=TH!H997,OR(L997="331",M997="331")),"x","")</f>
        <v/>
      </c>
      <c r="O997" s="55" t="str">
        <f>IF(AND($B997&gt;='111'!$N$11,$B997&lt;='111'!$O$11,OR($L997=$O$7,$M997=$O$7)),"x","")</f>
        <v/>
      </c>
      <c r="P997" s="55" t="str">
        <f>IF(AND($L997=$O$7,$B997&lt;'111'!$N$11),"x","")</f>
        <v>x</v>
      </c>
      <c r="Q997" s="55" t="str">
        <f>IF(AND($M997=$O$7,$B997&lt;'111'!$N$11),"x","")</f>
        <v/>
      </c>
      <c r="R997" s="55" t="str">
        <f>IF(ISERROR(FIND('112'!$M$9,G997,1)),"",IF((AND(FIND('112'!$M$9,G997,1)&gt;=1,$B997&gt;='112'!$N$8,$B997&lt;='112'!$O$8,OR($L997='112'!$I$6,$M997='112'!$I$6))),"x",""))</f>
        <v/>
      </c>
      <c r="S997" s="55" t="str">
        <f>IF(ISERROR(FIND('112'!$M$9,G997,1)),"",IF((AND(LEFT(G997,2)=LEFT('112'!$M$9,2),B997&lt;'112'!$N$8,$L997='112'!$I$6)),"x",""))</f>
        <v/>
      </c>
      <c r="T997" s="55" t="str">
        <f>IF(ISERROR(FIND('112'!$M$9,G997,1)),"",IF((AND(RIGHT(G997,2)=RIGHT('112'!$M$9,2),B997&lt;'112'!$N$8,$M997='112'!$I$6)),"x",""))</f>
        <v/>
      </c>
      <c r="U997" s="55" t="str">
        <f>IF(AND('3411-CT'!$F$9=H997,OR(LEFT(L997,3)=$U$7,LEFT(M997,3)=$U$7)),"x","")</f>
        <v/>
      </c>
      <c r="V997" s="55" t="str">
        <f>IF(OR(TH!L997=TH!$V$7,M997=TH!$V$7),"x","")</f>
        <v/>
      </c>
      <c r="W997" s="55" t="str">
        <f>IF(AND(OR(L997="131",M997="131"),H997='131-CT'!$E$7),"x","")</f>
        <v/>
      </c>
      <c r="X997" s="55" t="str">
        <f>IF(AND(B997&gt;='IN-NX'!$P$3,B997&lt;='IN-NX'!$Q$3,'IN-NX'!$D$7=D997,OR(LEFT(TH!L997,2)="15",LEFT(TH!M997,2)="15")),"x","")</f>
        <v/>
      </c>
      <c r="Y997" s="55" t="str">
        <f>IF(AND(OR(LEFT(TH!L997,2)="15",LEFT(TH!M997,2)="15"),'152-CT'!$J$8=TH!F997),"x","")</f>
        <v/>
      </c>
      <c r="Z997" s="55" t="str">
        <f>IF(AND(OR(LEFT(TH!L997,2)="15",LEFT(TH!M997,2)="15"),TK!$E$7=TH!F997),"x","")</f>
        <v/>
      </c>
      <c r="AA997" s="55" t="str">
        <f>IF(AND(B997&lt;=NKC!$N$8,B997&gt;=NKC!$M$8),"x","")</f>
        <v/>
      </c>
    </row>
    <row r="998" spans="1:29" s="226" customFormat="1" ht="15.75" customHeight="1">
      <c r="A998" s="219" t="str">
        <f>IF(B998&lt;&gt;"",IF(AND(B998&gt;=_TM1,B998&lt;=_TM2,OR(TH!L998="1111",TH!M998="1111")),TH!D998,""),"")</f>
        <v/>
      </c>
      <c r="B998" s="36">
        <f t="shared" si="39"/>
        <v>3</v>
      </c>
      <c r="C998" s="205">
        <f t="shared" si="40"/>
        <v>40977</v>
      </c>
      <c r="D998" s="205"/>
      <c r="E998" s="205">
        <v>40977</v>
      </c>
      <c r="F998" s="206" t="s">
        <v>1196</v>
      </c>
      <c r="G998" s="581" t="s">
        <v>1197</v>
      </c>
      <c r="H998" s="207" t="s">
        <v>1198</v>
      </c>
      <c r="I998" s="277">
        <v>497</v>
      </c>
      <c r="J998" s="277">
        <v>13700</v>
      </c>
      <c r="K998" s="698">
        <f t="shared" si="43"/>
        <v>6808900</v>
      </c>
      <c r="L998" s="208" t="s">
        <v>49</v>
      </c>
      <c r="M998" s="208" t="s">
        <v>208</v>
      </c>
      <c r="N998" s="55" t="str">
        <f>IF(AND('331-CT'!$E$7=TH!H998,OR(L998="331",M998="331")),"x","")</f>
        <v/>
      </c>
      <c r="O998" s="55" t="str">
        <f>IF(AND($B998&gt;='111'!$N$11,$B998&lt;='111'!$O$11,OR($L998=$O$7,$M998=$O$7)),"x","")</f>
        <v/>
      </c>
      <c r="P998" s="55" t="str">
        <f>IF(AND($L998=$O$7,$B998&lt;'111'!$N$11),"x","")</f>
        <v>x</v>
      </c>
      <c r="Q998" s="55" t="str">
        <f>IF(AND($M998=$O$7,$B998&lt;'111'!$N$11),"x","")</f>
        <v/>
      </c>
      <c r="R998" s="55" t="str">
        <f>IF(ISERROR(FIND('112'!$M$9,G998,1)),"",IF((AND(FIND('112'!$M$9,G998,1)&gt;=1,$B998&gt;='112'!$N$8,$B998&lt;='112'!$O$8,OR($L998='112'!$I$6,$M998='112'!$I$6))),"x",""))</f>
        <v/>
      </c>
      <c r="S998" s="55" t="str">
        <f>IF(ISERROR(FIND('112'!$M$9,G998,1)),"",IF((AND(LEFT(G998,2)=LEFT('112'!$M$9,2),B998&lt;'112'!$N$8,$L998='112'!$I$6)),"x",""))</f>
        <v/>
      </c>
      <c r="T998" s="55" t="str">
        <f>IF(ISERROR(FIND('112'!$M$9,G998,1)),"",IF((AND(RIGHT(G998,2)=RIGHT('112'!$M$9,2),B998&lt;'112'!$N$8,$M998='112'!$I$6)),"x",""))</f>
        <v/>
      </c>
      <c r="U998" s="55" t="str">
        <f>IF(AND('3411-CT'!$F$9=H998,OR(LEFT(L998,3)=$U$7,LEFT(M998,3)=$U$7)),"x","")</f>
        <v/>
      </c>
      <c r="V998" s="55" t="str">
        <f>IF(OR(TH!L998=TH!$V$7,M998=TH!$V$7),"x","")</f>
        <v/>
      </c>
      <c r="W998" s="55" t="str">
        <f>IF(AND(OR(L998="131",M998="131"),H998='131-CT'!$E$7),"x","")</f>
        <v/>
      </c>
      <c r="X998" s="55" t="str">
        <f>IF(AND(B998&gt;='IN-NX'!$P$3,B998&lt;='IN-NX'!$Q$3,'IN-NX'!$D$7=D998,OR(LEFT(TH!L998,2)="15",LEFT(TH!M998,2)="15")),"x","")</f>
        <v/>
      </c>
      <c r="Y998" s="55" t="str">
        <f>IF(AND(OR(LEFT(TH!L998,2)="15",LEFT(TH!M998,2)="15"),'152-CT'!$J$8=TH!F998),"x","")</f>
        <v/>
      </c>
      <c r="Z998" s="55" t="str">
        <f>IF(AND(OR(LEFT(TH!L998,2)="15",LEFT(TH!M998,2)="15"),TK!$E$7=TH!F998),"x","")</f>
        <v/>
      </c>
      <c r="AA998" s="55" t="str">
        <f>IF(AND(B998&lt;=NKC!$N$8,B998&gt;=NKC!$M$8),"x","")</f>
        <v/>
      </c>
    </row>
    <row r="999" spans="1:29" s="226" customFormat="1" ht="15.75" customHeight="1">
      <c r="A999" s="219" t="str">
        <f>IF(B999&lt;&gt;"",IF(AND(B999&gt;=_TM1,B999&lt;=_TM2,OR(TH!L999="1111",TH!M999="1111")),TH!D999,""),"")</f>
        <v/>
      </c>
      <c r="B999" s="36">
        <f t="shared" si="39"/>
        <v>3</v>
      </c>
      <c r="C999" s="205">
        <f t="shared" si="40"/>
        <v>40977</v>
      </c>
      <c r="D999" s="205"/>
      <c r="E999" s="205">
        <v>40977</v>
      </c>
      <c r="F999" s="206" t="s">
        <v>1185</v>
      </c>
      <c r="G999" s="581" t="s">
        <v>1197</v>
      </c>
      <c r="H999" s="207" t="s">
        <v>1198</v>
      </c>
      <c r="I999" s="277"/>
      <c r="J999" s="277"/>
      <c r="K999" s="698">
        <v>680890</v>
      </c>
      <c r="L999" s="208" t="s">
        <v>49</v>
      </c>
      <c r="M999" s="208" t="s">
        <v>549</v>
      </c>
      <c r="N999" s="55" t="str">
        <f>IF(AND('331-CT'!$E$7=TH!H999,OR(L999="331",M999="331")),"x","")</f>
        <v/>
      </c>
      <c r="O999" s="55" t="str">
        <f>IF(AND($B999&gt;='111'!$N$11,$B999&lt;='111'!$O$11,OR($L999=$O$7,$M999=$O$7)),"x","")</f>
        <v/>
      </c>
      <c r="P999" s="55" t="str">
        <f>IF(AND($L999=$O$7,$B999&lt;'111'!$N$11),"x","")</f>
        <v>x</v>
      </c>
      <c r="Q999" s="55" t="str">
        <f>IF(AND($M999=$O$7,$B999&lt;'111'!$N$11),"x","")</f>
        <v/>
      </c>
      <c r="R999" s="55" t="str">
        <f>IF(ISERROR(FIND('112'!$M$9,G999,1)),"",IF((AND(FIND('112'!$M$9,G999,1)&gt;=1,$B999&gt;='112'!$N$8,$B999&lt;='112'!$O$8,OR($L999='112'!$I$6,$M999='112'!$I$6))),"x",""))</f>
        <v/>
      </c>
      <c r="S999" s="55" t="str">
        <f>IF(ISERROR(FIND('112'!$M$9,G999,1)),"",IF((AND(LEFT(G999,2)=LEFT('112'!$M$9,2),B999&lt;'112'!$N$8,$L999='112'!$I$6)),"x",""))</f>
        <v/>
      </c>
      <c r="T999" s="55" t="str">
        <f>IF(ISERROR(FIND('112'!$M$9,G999,1)),"",IF((AND(RIGHT(G999,2)=RIGHT('112'!$M$9,2),B999&lt;'112'!$N$8,$M999='112'!$I$6)),"x",""))</f>
        <v/>
      </c>
      <c r="U999" s="55" t="str">
        <f>IF(AND('3411-CT'!$F$9=H999,OR(LEFT(L999,3)=$U$7,LEFT(M999,3)=$U$7)),"x","")</f>
        <v/>
      </c>
      <c r="V999" s="55" t="str">
        <f>IF(OR(TH!L999=TH!$V$7,M999=TH!$V$7),"x","")</f>
        <v/>
      </c>
      <c r="W999" s="55" t="str">
        <f>IF(AND(OR(L999="131",M999="131"),H999='131-CT'!$E$7),"x","")</f>
        <v/>
      </c>
      <c r="X999" s="55" t="str">
        <f>IF(AND(B999&gt;='IN-NX'!$P$3,B999&lt;='IN-NX'!$Q$3,'IN-NX'!$D$7=D999,OR(LEFT(TH!L999,2)="15",LEFT(TH!M999,2)="15")),"x","")</f>
        <v/>
      </c>
      <c r="Y999" s="55" t="str">
        <f>IF(AND(OR(LEFT(TH!L999,2)="15",LEFT(TH!M999,2)="15"),'152-CT'!$J$8=TH!F999),"x","")</f>
        <v/>
      </c>
      <c r="Z999" s="55" t="str">
        <f>IF(AND(OR(LEFT(TH!L999,2)="15",LEFT(TH!M999,2)="15"),TK!$E$7=TH!F999),"x","")</f>
        <v/>
      </c>
      <c r="AA999" s="55" t="str">
        <f>IF(AND(B999&lt;=NKC!$N$8,B999&gt;=NKC!$M$8),"x","")</f>
        <v/>
      </c>
    </row>
    <row r="1000" spans="1:29" s="226" customFormat="1" ht="15.75" customHeight="1">
      <c r="A1000" s="219" t="str">
        <f>IF(B1000&lt;&gt;"",IF(AND(B1000&gt;=_TM1,B1000&lt;=_TM2,OR(TH!L1000="1111",TH!M1000="1111")),TH!D1000,""),"")</f>
        <v/>
      </c>
      <c r="B1000" s="36">
        <f t="shared" si="39"/>
        <v>3</v>
      </c>
      <c r="C1000" s="205">
        <f t="shared" si="40"/>
        <v>40978</v>
      </c>
      <c r="D1000" s="205"/>
      <c r="E1000" s="205">
        <v>40978</v>
      </c>
      <c r="F1000" s="206" t="s">
        <v>1199</v>
      </c>
      <c r="G1000" s="581" t="s">
        <v>1097</v>
      </c>
      <c r="H1000" s="7" t="s">
        <v>416</v>
      </c>
      <c r="I1000" s="277">
        <v>1277</v>
      </c>
      <c r="J1000" s="277">
        <v>1277</v>
      </c>
      <c r="K1000" s="698">
        <f t="shared" si="43"/>
        <v>1630729</v>
      </c>
      <c r="L1000" s="208" t="s">
        <v>311</v>
      </c>
      <c r="M1000" s="208" t="s">
        <v>208</v>
      </c>
      <c r="N1000" s="55" t="str">
        <f>IF(AND('331-CT'!$E$7=TH!H1000,OR(L1000="331",M1000="331")),"x","")</f>
        <v/>
      </c>
      <c r="O1000" s="55" t="str">
        <f>IF(AND($B1000&gt;='111'!$N$11,$B1000&lt;='111'!$O$11,OR($L1000=$O$7,$M1000=$O$7)),"x","")</f>
        <v/>
      </c>
      <c r="P1000" s="55" t="str">
        <f>IF(AND($L1000=$O$7,$B1000&lt;'111'!$N$11),"x","")</f>
        <v/>
      </c>
      <c r="Q1000" s="55" t="str">
        <f>IF(AND($M1000=$O$7,$B1000&lt;'111'!$N$11),"x","")</f>
        <v/>
      </c>
      <c r="R1000" s="55" t="str">
        <f>IF(ISERROR(FIND('112'!$M$9,G1000,1)),"",IF((AND(FIND('112'!$M$9,G1000,1)&gt;=1,$B1000&gt;='112'!$N$8,$B1000&lt;='112'!$O$8,OR($L1000='112'!$I$6,$M1000='112'!$I$6))),"x",""))</f>
        <v/>
      </c>
      <c r="S1000" s="55" t="str">
        <f>IF(ISERROR(FIND('112'!$M$9,G1000,1)),"",IF((AND(LEFT(G1000,2)=LEFT('112'!$M$9,2),B1000&lt;'112'!$N$8,$L1000='112'!$I$6)),"x",""))</f>
        <v/>
      </c>
      <c r="T1000" s="55" t="str">
        <f>IF(ISERROR(FIND('112'!$M$9,G1000,1)),"",IF((AND(RIGHT(G1000,2)=RIGHT('112'!$M$9,2),B1000&lt;'112'!$N$8,$M1000='112'!$I$6)),"x",""))</f>
        <v/>
      </c>
      <c r="U1000" s="55" t="str">
        <f>IF(AND('3411-CT'!$F$9=H1000,OR(LEFT(L1000,3)=$U$7,LEFT(M1000,3)=$U$7)),"x","")</f>
        <v/>
      </c>
      <c r="V1000" s="55" t="str">
        <f>IF(OR(TH!L1000=TH!$V$7,M1000=TH!$V$7),"x","")</f>
        <v/>
      </c>
      <c r="W1000" s="55" t="str">
        <f>IF(AND(OR(L1000="131",M1000="131"),H1000='131-CT'!$E$7),"x","")</f>
        <v/>
      </c>
      <c r="X1000" s="55" t="str">
        <f>IF(AND(B1000&gt;='IN-NX'!$P$3,B1000&lt;='IN-NX'!$Q$3,'IN-NX'!$D$7=D1000,OR(LEFT(TH!L1000,2)="15",LEFT(TH!M1000,2)="15")),"x","")</f>
        <v/>
      </c>
      <c r="Y1000" s="55" t="str">
        <f>IF(AND(OR(LEFT(TH!L1000,2)="15",LEFT(TH!M1000,2)="15"),'152-CT'!$J$8=TH!F1000),"x","")</f>
        <v/>
      </c>
      <c r="Z1000" s="55" t="str">
        <f>IF(AND(OR(LEFT(TH!L1000,2)="15",LEFT(TH!M1000,2)="15"),TK!$E$7=TH!F1000),"x","")</f>
        <v/>
      </c>
      <c r="AA1000" s="55" t="str">
        <f>IF(AND(B1000&lt;=NKC!$N$8,B1000&gt;=NKC!$M$8),"x","")</f>
        <v/>
      </c>
    </row>
    <row r="1001" spans="1:29" ht="15.75" customHeight="1">
      <c r="A1001" s="219" t="str">
        <f>IF(B1001&lt;&gt;"",IF(AND(B1001&gt;=_TM1,B1001&lt;=_TM2,OR(TH!L1001="1111",TH!M1001="1111")),TH!D1001,""),"")</f>
        <v/>
      </c>
      <c r="B1001" s="36">
        <f t="shared" si="39"/>
        <v>3</v>
      </c>
      <c r="C1001" s="205">
        <f t="shared" si="40"/>
        <v>40978</v>
      </c>
      <c r="D1001" s="205"/>
      <c r="E1001" s="205">
        <v>40978</v>
      </c>
      <c r="F1001" s="206" t="s">
        <v>1200</v>
      </c>
      <c r="G1001" s="581" t="s">
        <v>1097</v>
      </c>
      <c r="H1001" s="7" t="s">
        <v>416</v>
      </c>
      <c r="I1001" s="277">
        <v>1305</v>
      </c>
      <c r="J1001" s="277">
        <v>6630</v>
      </c>
      <c r="K1001" s="698">
        <f t="shared" si="43"/>
        <v>8652150</v>
      </c>
      <c r="L1001" s="208" t="s">
        <v>311</v>
      </c>
      <c r="M1001" s="208" t="s">
        <v>208</v>
      </c>
      <c r="N1001" s="55" t="str">
        <f>IF(AND('331-CT'!$E$7=TH!H1001,OR(L1001="331",M1001="331")),"x","")</f>
        <v/>
      </c>
      <c r="O1001" s="55" t="str">
        <f>IF(AND($B1001&gt;='111'!$N$11,$B1001&lt;='111'!$O$11,OR($L1001=$O$7,$M1001=$O$7)),"x","")</f>
        <v/>
      </c>
      <c r="P1001" s="55" t="str">
        <f>IF(AND($L1001=$O$7,$B1001&lt;'111'!$N$11),"x","")</f>
        <v/>
      </c>
      <c r="Q1001" s="55" t="str">
        <f>IF(AND($M1001=$O$7,$B1001&lt;'111'!$N$11),"x","")</f>
        <v/>
      </c>
      <c r="R1001" s="55" t="str">
        <f>IF(ISERROR(FIND('112'!$M$9,G1001,1)),"",IF((AND(FIND('112'!$M$9,G1001,1)&gt;=1,$B1001&gt;='112'!$N$8,$B1001&lt;='112'!$O$8,OR($L1001='112'!$I$6,$M1001='112'!$I$6))),"x",""))</f>
        <v/>
      </c>
      <c r="S1001" s="55" t="str">
        <f>IF(ISERROR(FIND('112'!$M$9,G1001,1)),"",IF((AND(LEFT(G1001,2)=LEFT('112'!$M$9,2),B1001&lt;'112'!$N$8,$L1001='112'!$I$6)),"x",""))</f>
        <v/>
      </c>
      <c r="T1001" s="55" t="str">
        <f>IF(ISERROR(FIND('112'!$M$9,G1001,1)),"",IF((AND(RIGHT(G1001,2)=RIGHT('112'!$M$9,2),B1001&lt;'112'!$N$8,$M1001='112'!$I$6)),"x",""))</f>
        <v/>
      </c>
      <c r="U1001" s="55" t="str">
        <f>IF(AND('3411-CT'!$F$9=H1001,OR(LEFT(L1001,3)=$U$7,LEFT(M1001,3)=$U$7)),"x","")</f>
        <v/>
      </c>
      <c r="V1001" s="55" t="str">
        <f>IF(OR(TH!L1001=TH!$V$7,M1001=TH!$V$7),"x","")</f>
        <v/>
      </c>
      <c r="W1001" s="55" t="str">
        <f>IF(AND(OR(L1001="131",M1001="131"),H1001='131-CT'!$E$7),"x","")</f>
        <v/>
      </c>
      <c r="X1001" s="55" t="str">
        <f>IF(AND(B1001&gt;='IN-NX'!$P$3,B1001&lt;='IN-NX'!$Q$3,'IN-NX'!$D$7=D1001,OR(LEFT(TH!L1001,2)="15",LEFT(TH!M1001,2)="15")),"x","")</f>
        <v/>
      </c>
      <c r="Y1001" s="55" t="str">
        <f>IF(AND(OR(LEFT(TH!L1001,2)="15",LEFT(TH!M1001,2)="15"),'152-CT'!$J$8=TH!F1001),"x","")</f>
        <v/>
      </c>
      <c r="Z1001" s="55" t="str">
        <f>IF(AND(OR(LEFT(TH!L1001,2)="15",LEFT(TH!M1001,2)="15"),TK!$E$7=TH!F1001),"x","")</f>
        <v/>
      </c>
      <c r="AA1001" s="55" t="str">
        <f>IF(AND(B1001&lt;=NKC!$N$8,B1001&gt;=NKC!$M$8),"x","")</f>
        <v/>
      </c>
    </row>
    <row r="1002" spans="1:29" ht="15.75" customHeight="1">
      <c r="A1002" s="219" t="str">
        <f>IF(B1002&lt;&gt;"",IF(AND(B1002&gt;=_TM1,B1002&lt;=_TM2,OR(TH!L1002="1111",TH!M1002="1111")),TH!D1002,""),"")</f>
        <v/>
      </c>
      <c r="B1002" s="36">
        <f t="shared" si="39"/>
        <v>3</v>
      </c>
      <c r="C1002" s="205">
        <f t="shared" si="40"/>
        <v>40978</v>
      </c>
      <c r="D1002" s="205"/>
      <c r="E1002" s="205">
        <v>40978</v>
      </c>
      <c r="F1002" s="206" t="s">
        <v>1201</v>
      </c>
      <c r="G1002" s="581" t="s">
        <v>1097</v>
      </c>
      <c r="H1002" s="7" t="s">
        <v>416</v>
      </c>
      <c r="I1002" s="277">
        <v>301</v>
      </c>
      <c r="J1002" s="277">
        <v>6830</v>
      </c>
      <c r="K1002" s="698">
        <f t="shared" si="43"/>
        <v>2055830</v>
      </c>
      <c r="L1002" s="208" t="s">
        <v>311</v>
      </c>
      <c r="M1002" s="208" t="s">
        <v>208</v>
      </c>
      <c r="N1002" s="55" t="str">
        <f>IF(AND('331-CT'!$E$7=TH!H1002,OR(L1002="331",M1002="331")),"x","")</f>
        <v/>
      </c>
      <c r="O1002" s="55" t="str">
        <f>IF(AND($B1002&gt;='111'!$N$11,$B1002&lt;='111'!$O$11,OR($L1002=$O$7,$M1002=$O$7)),"x","")</f>
        <v/>
      </c>
      <c r="P1002" s="55" t="str">
        <f>IF(AND($L1002=$O$7,$B1002&lt;'111'!$N$11),"x","")</f>
        <v/>
      </c>
      <c r="Q1002" s="55" t="str">
        <f>IF(AND($M1002=$O$7,$B1002&lt;'111'!$N$11),"x","")</f>
        <v/>
      </c>
      <c r="R1002" s="55" t="str">
        <f>IF(ISERROR(FIND('112'!$M$9,G1002,1)),"",IF((AND(FIND('112'!$M$9,G1002,1)&gt;=1,$B1002&gt;='112'!$N$8,$B1002&lt;='112'!$O$8,OR($L1002='112'!$I$6,$M1002='112'!$I$6))),"x",""))</f>
        <v/>
      </c>
      <c r="S1002" s="55" t="str">
        <f>IF(ISERROR(FIND('112'!$M$9,G1002,1)),"",IF((AND(LEFT(G1002,2)=LEFT('112'!$M$9,2),B1002&lt;'112'!$N$8,$L1002='112'!$I$6)),"x",""))</f>
        <v/>
      </c>
      <c r="T1002" s="55" t="str">
        <f>IF(ISERROR(FIND('112'!$M$9,G1002,1)),"",IF((AND(RIGHT(G1002,2)=RIGHT('112'!$M$9,2),B1002&lt;'112'!$N$8,$M1002='112'!$I$6)),"x",""))</f>
        <v/>
      </c>
      <c r="U1002" s="55" t="str">
        <f>IF(AND('3411-CT'!$F$9=H1002,OR(LEFT(L1002,3)=$U$7,LEFT(M1002,3)=$U$7)),"x","")</f>
        <v/>
      </c>
      <c r="V1002" s="55" t="str">
        <f>IF(OR(TH!L1002=TH!$V$7,M1002=TH!$V$7),"x","")</f>
        <v/>
      </c>
      <c r="W1002" s="55" t="str">
        <f>IF(AND(OR(L1002="131",M1002="131"),H1002='131-CT'!$E$7),"x","")</f>
        <v/>
      </c>
      <c r="X1002" s="55" t="str">
        <f>IF(AND(B1002&gt;='IN-NX'!$P$3,B1002&lt;='IN-NX'!$Q$3,'IN-NX'!$D$7=D1002,OR(LEFT(TH!L1002,2)="15",LEFT(TH!M1002,2)="15")),"x","")</f>
        <v/>
      </c>
      <c r="Y1002" s="55" t="str">
        <f>IF(AND(OR(LEFT(TH!L1002,2)="15",LEFT(TH!M1002,2)="15"),'152-CT'!$J$8=TH!F1002),"x","")</f>
        <v/>
      </c>
      <c r="Z1002" s="55" t="str">
        <f>IF(AND(OR(LEFT(TH!L1002,2)="15",LEFT(TH!M1002,2)="15"),TK!$E$7=TH!F1002),"x","")</f>
        <v/>
      </c>
      <c r="AA1002" s="55" t="str">
        <f>IF(AND(B1002&lt;=NKC!$N$8,B1002&gt;=NKC!$M$8),"x","")</f>
        <v/>
      </c>
    </row>
    <row r="1003" spans="1:29" ht="15.75" customHeight="1">
      <c r="A1003" s="219" t="str">
        <f>IF(B1003&lt;&gt;"",IF(AND(B1003&gt;=_TM1,B1003&lt;=_TM2,OR(TH!L1003="1111",TH!M1003="1111")),TH!D1003,""),"")</f>
        <v/>
      </c>
      <c r="B1003" s="36">
        <f t="shared" si="39"/>
        <v>3</v>
      </c>
      <c r="C1003" s="205">
        <f t="shared" si="40"/>
        <v>40978</v>
      </c>
      <c r="D1003" s="205"/>
      <c r="E1003" s="205">
        <v>40978</v>
      </c>
      <c r="F1003" s="206" t="s">
        <v>1202</v>
      </c>
      <c r="G1003" s="581" t="s">
        <v>1097</v>
      </c>
      <c r="H1003" s="7" t="s">
        <v>416</v>
      </c>
      <c r="I1003" s="277">
        <v>220</v>
      </c>
      <c r="J1003" s="277">
        <v>13320</v>
      </c>
      <c r="K1003" s="698">
        <f t="shared" si="43"/>
        <v>2930400</v>
      </c>
      <c r="L1003" s="208" t="s">
        <v>311</v>
      </c>
      <c r="M1003" s="208" t="s">
        <v>208</v>
      </c>
      <c r="N1003" s="55" t="str">
        <f>IF(AND('331-CT'!$E$7=TH!H1003,OR(L1003="331",M1003="331")),"x","")</f>
        <v/>
      </c>
      <c r="O1003" s="55" t="str">
        <f>IF(AND($B1003&gt;='111'!$N$11,$B1003&lt;='111'!$O$11,OR($L1003=$O$7,$M1003=$O$7)),"x","")</f>
        <v/>
      </c>
      <c r="P1003" s="55" t="str">
        <f>IF(AND($L1003=$O$7,$B1003&lt;'111'!$N$11),"x","")</f>
        <v/>
      </c>
      <c r="Q1003" s="55" t="str">
        <f>IF(AND($M1003=$O$7,$B1003&lt;'111'!$N$11),"x","")</f>
        <v/>
      </c>
      <c r="R1003" s="55" t="str">
        <f>IF(ISERROR(FIND('112'!$M$9,G1003,1)),"",IF((AND(FIND('112'!$M$9,G1003,1)&gt;=1,$B1003&gt;='112'!$N$8,$B1003&lt;='112'!$O$8,OR($L1003='112'!$I$6,$M1003='112'!$I$6))),"x",""))</f>
        <v/>
      </c>
      <c r="S1003" s="55" t="str">
        <f>IF(ISERROR(FIND('112'!$M$9,G1003,1)),"",IF((AND(LEFT(G1003,2)=LEFT('112'!$M$9,2),B1003&lt;'112'!$N$8,$L1003='112'!$I$6)),"x",""))</f>
        <v/>
      </c>
      <c r="T1003" s="55" t="str">
        <f>IF(ISERROR(FIND('112'!$M$9,G1003,1)),"",IF((AND(RIGHT(G1003,2)=RIGHT('112'!$M$9,2),B1003&lt;'112'!$N$8,$M1003='112'!$I$6)),"x",""))</f>
        <v/>
      </c>
      <c r="U1003" s="55" t="str">
        <f>IF(AND('3411-CT'!$F$9=H1003,OR(LEFT(L1003,3)=$U$7,LEFT(M1003,3)=$U$7)),"x","")</f>
        <v/>
      </c>
      <c r="V1003" s="55" t="str">
        <f>IF(OR(TH!L1003=TH!$V$7,M1003=TH!$V$7),"x","")</f>
        <v/>
      </c>
      <c r="W1003" s="55" t="str">
        <f>IF(AND(OR(L1003="131",M1003="131"),H1003='131-CT'!$E$7),"x","")</f>
        <v/>
      </c>
      <c r="X1003" s="55" t="str">
        <f>IF(AND(B1003&gt;='IN-NX'!$P$3,B1003&lt;='IN-NX'!$Q$3,'IN-NX'!$D$7=D1003,OR(LEFT(TH!L1003,2)="15",LEFT(TH!M1003,2)="15")),"x","")</f>
        <v/>
      </c>
      <c r="Y1003" s="55" t="str">
        <f>IF(AND(OR(LEFT(TH!L1003,2)="15",LEFT(TH!M1003,2)="15"),'152-CT'!$J$8=TH!F1003),"x","")</f>
        <v/>
      </c>
      <c r="Z1003" s="55" t="str">
        <f>IF(AND(OR(LEFT(TH!L1003,2)="15",LEFT(TH!M1003,2)="15"),TK!$E$7=TH!F1003),"x","")</f>
        <v/>
      </c>
      <c r="AA1003" s="55" t="str">
        <f>IF(AND(B1003&lt;=NKC!$N$8,B1003&gt;=NKC!$M$8),"x","")</f>
        <v/>
      </c>
    </row>
    <row r="1004" spans="1:29" ht="15.75" customHeight="1">
      <c r="A1004" s="219" t="str">
        <f>IF(B1004&lt;&gt;"",IF(AND(B1004&gt;=_TM1,B1004&lt;=_TM2,OR(TH!L1004="1111",TH!M1004="1111")),TH!D1004,""),"")</f>
        <v/>
      </c>
      <c r="B1004" s="36">
        <f t="shared" si="39"/>
        <v>3</v>
      </c>
      <c r="C1004" s="205">
        <f t="shared" si="40"/>
        <v>40978</v>
      </c>
      <c r="D1004" s="205"/>
      <c r="E1004" s="205">
        <v>40978</v>
      </c>
      <c r="F1004" s="206" t="s">
        <v>1185</v>
      </c>
      <c r="G1004" s="581" t="s">
        <v>1097</v>
      </c>
      <c r="H1004" s="7" t="s">
        <v>416</v>
      </c>
      <c r="I1004" s="277"/>
      <c r="J1004" s="277"/>
      <c r="K1004" s="698">
        <v>2156855</v>
      </c>
      <c r="L1004" s="208" t="s">
        <v>311</v>
      </c>
      <c r="M1004" s="208" t="s">
        <v>549</v>
      </c>
      <c r="N1004" s="55" t="str">
        <f>IF(AND('331-CT'!$E$7=TH!H1004,OR(L1004="331",M1004="331")),"x","")</f>
        <v/>
      </c>
      <c r="O1004" s="55" t="str">
        <f>IF(AND($B1004&gt;='111'!$N$11,$B1004&lt;='111'!$O$11,OR($L1004=$O$7,$M1004=$O$7)),"x","")</f>
        <v/>
      </c>
      <c r="P1004" s="55" t="str">
        <f>IF(AND($L1004=$O$7,$B1004&lt;'111'!$N$11),"x","")</f>
        <v/>
      </c>
      <c r="Q1004" s="55" t="str">
        <f>IF(AND($M1004=$O$7,$B1004&lt;'111'!$N$11),"x","")</f>
        <v/>
      </c>
      <c r="R1004" s="55" t="str">
        <f>IF(ISERROR(FIND('112'!$M$9,G1004,1)),"",IF((AND(FIND('112'!$M$9,G1004,1)&gt;=1,$B1004&gt;='112'!$N$8,$B1004&lt;='112'!$O$8,OR($L1004='112'!$I$6,$M1004='112'!$I$6))),"x",""))</f>
        <v/>
      </c>
      <c r="S1004" s="55" t="str">
        <f>IF(ISERROR(FIND('112'!$M$9,G1004,1)),"",IF((AND(LEFT(G1004,2)=LEFT('112'!$M$9,2),B1004&lt;'112'!$N$8,$L1004='112'!$I$6)),"x",""))</f>
        <v/>
      </c>
      <c r="T1004" s="55" t="str">
        <f>IF(ISERROR(FIND('112'!$M$9,G1004,1)),"",IF((AND(RIGHT(G1004,2)=RIGHT('112'!$M$9,2),B1004&lt;'112'!$N$8,$M1004='112'!$I$6)),"x",""))</f>
        <v/>
      </c>
      <c r="U1004" s="55" t="str">
        <f>IF(AND('3411-CT'!$F$9=H1004,OR(LEFT(L1004,3)=$U$7,LEFT(M1004,3)=$U$7)),"x","")</f>
        <v/>
      </c>
      <c r="V1004" s="55" t="str">
        <f>IF(OR(TH!L1004=TH!$V$7,M1004=TH!$V$7),"x","")</f>
        <v/>
      </c>
      <c r="W1004" s="55" t="str">
        <f>IF(AND(OR(L1004="131",M1004="131"),H1004='131-CT'!$E$7),"x","")</f>
        <v/>
      </c>
      <c r="X1004" s="55" t="str">
        <f>IF(AND(B1004&gt;='IN-NX'!$P$3,B1004&lt;='IN-NX'!$Q$3,'IN-NX'!$D$7=D1004,OR(LEFT(TH!L1004,2)="15",LEFT(TH!M1004,2)="15")),"x","")</f>
        <v/>
      </c>
      <c r="Y1004" s="55" t="str">
        <f>IF(AND(OR(LEFT(TH!L1004,2)="15",LEFT(TH!M1004,2)="15"),'152-CT'!$J$8=TH!F1004),"x","")</f>
        <v/>
      </c>
      <c r="Z1004" s="55" t="str">
        <f>IF(AND(OR(LEFT(TH!L1004,2)="15",LEFT(TH!M1004,2)="15"),TK!$E$7=TH!F1004),"x","")</f>
        <v/>
      </c>
      <c r="AA1004" s="55" t="str">
        <f>IF(AND(B1004&lt;=NKC!$N$8,B1004&gt;=NKC!$M$8),"x","")</f>
        <v/>
      </c>
      <c r="AC1004" s="226"/>
    </row>
    <row r="1005" spans="1:29" ht="15.75" customHeight="1">
      <c r="A1005" s="219" t="str">
        <f>IF(B1005&lt;&gt;"",IF(AND(B1005&gt;=_TM1,B1005&lt;=_TM2,OR(TH!L1005="1111",TH!M1005="1111")),TH!D1005,""),"")</f>
        <v/>
      </c>
      <c r="B1005" s="36">
        <f t="shared" si="39"/>
        <v>3</v>
      </c>
      <c r="C1005" s="205">
        <f t="shared" si="40"/>
        <v>40980</v>
      </c>
      <c r="D1005" s="205"/>
      <c r="E1005" s="205">
        <v>40980</v>
      </c>
      <c r="F1005" s="206" t="s">
        <v>1203</v>
      </c>
      <c r="G1005" s="581" t="s">
        <v>1204</v>
      </c>
      <c r="H1005" s="47" t="s">
        <v>1147</v>
      </c>
      <c r="I1005" s="277">
        <v>991</v>
      </c>
      <c r="J1005" s="277">
        <v>11500</v>
      </c>
      <c r="K1005" s="698">
        <f t="shared" si="43"/>
        <v>11396500</v>
      </c>
      <c r="L1005" s="208" t="s">
        <v>311</v>
      </c>
      <c r="M1005" s="208" t="s">
        <v>208</v>
      </c>
      <c r="N1005" s="55" t="str">
        <f>IF(AND('331-CT'!$E$7=TH!H1005,OR(L1005="331",M1005="331")),"x","")</f>
        <v/>
      </c>
      <c r="O1005" s="55" t="str">
        <f>IF(AND($B1005&gt;='111'!$N$11,$B1005&lt;='111'!$O$11,OR($L1005=$O$7,$M1005=$O$7)),"x","")</f>
        <v/>
      </c>
      <c r="P1005" s="55" t="str">
        <f>IF(AND($L1005=$O$7,$B1005&lt;'111'!$N$11),"x","")</f>
        <v/>
      </c>
      <c r="Q1005" s="55" t="str">
        <f>IF(AND($M1005=$O$7,$B1005&lt;'111'!$N$11),"x","")</f>
        <v/>
      </c>
      <c r="R1005" s="55" t="str">
        <f>IF(ISERROR(FIND('112'!$M$9,G1005,1)),"",IF((AND(FIND('112'!$M$9,G1005,1)&gt;=1,$B1005&gt;='112'!$N$8,$B1005&lt;='112'!$O$8,OR($L1005='112'!$I$6,$M1005='112'!$I$6))),"x",""))</f>
        <v/>
      </c>
      <c r="S1005" s="55" t="str">
        <f>IF(ISERROR(FIND('112'!$M$9,G1005,1)),"",IF((AND(LEFT(G1005,2)=LEFT('112'!$M$9,2),B1005&lt;'112'!$N$8,$L1005='112'!$I$6)),"x",""))</f>
        <v/>
      </c>
      <c r="T1005" s="55" t="str">
        <f>IF(ISERROR(FIND('112'!$M$9,G1005,1)),"",IF((AND(RIGHT(G1005,2)=RIGHT('112'!$M$9,2),B1005&lt;'112'!$N$8,$M1005='112'!$I$6)),"x",""))</f>
        <v/>
      </c>
      <c r="U1005" s="55" t="str">
        <f>IF(AND('3411-CT'!$F$9=H1005,OR(LEFT(L1005,3)=$U$7,LEFT(M1005,3)=$U$7)),"x","")</f>
        <v/>
      </c>
      <c r="V1005" s="55" t="str">
        <f>IF(OR(TH!L1005=TH!$V$7,M1005=TH!$V$7),"x","")</f>
        <v/>
      </c>
      <c r="W1005" s="55" t="str">
        <f>IF(AND(OR(L1005="131",M1005="131"),H1005='131-CT'!$E$7),"x","")</f>
        <v/>
      </c>
      <c r="X1005" s="55" t="str">
        <f>IF(AND(B1005&gt;='IN-NX'!$P$3,B1005&lt;='IN-NX'!$Q$3,'IN-NX'!$D$7=D1005,OR(LEFT(TH!L1005,2)="15",LEFT(TH!M1005,2)="15")),"x","")</f>
        <v/>
      </c>
      <c r="Y1005" s="55" t="str">
        <f>IF(AND(OR(LEFT(TH!L1005,2)="15",LEFT(TH!M1005,2)="15"),'152-CT'!$J$8=TH!F1005),"x","")</f>
        <v/>
      </c>
      <c r="Z1005" s="55" t="str">
        <f>IF(AND(OR(LEFT(TH!L1005,2)="15",LEFT(TH!M1005,2)="15"),TK!$E$7=TH!F1005),"x","")</f>
        <v/>
      </c>
      <c r="AA1005" s="55" t="str">
        <f>IF(AND(B1005&lt;=NKC!$N$8,B1005&gt;=NKC!$M$8),"x","")</f>
        <v/>
      </c>
    </row>
    <row r="1006" spans="1:29" ht="15.75" customHeight="1">
      <c r="A1006" s="219" t="str">
        <f>IF(B1006&lt;&gt;"",IF(AND(B1006&gt;=_TM1,B1006&lt;=_TM2,OR(TH!L1006="1111",TH!M1006="1111")),TH!D1006,""),"")</f>
        <v/>
      </c>
      <c r="B1006" s="36">
        <f t="shared" si="39"/>
        <v>3</v>
      </c>
      <c r="C1006" s="205">
        <f t="shared" si="40"/>
        <v>40980</v>
      </c>
      <c r="D1006" s="205"/>
      <c r="E1006" s="205">
        <v>40980</v>
      </c>
      <c r="F1006" s="206" t="s">
        <v>1185</v>
      </c>
      <c r="G1006" s="581" t="s">
        <v>1204</v>
      </c>
      <c r="H1006" s="47" t="s">
        <v>1147</v>
      </c>
      <c r="I1006" s="277"/>
      <c r="J1006" s="277"/>
      <c r="K1006" s="698">
        <v>1139650</v>
      </c>
      <c r="L1006" s="208" t="s">
        <v>311</v>
      </c>
      <c r="M1006" s="208" t="s">
        <v>549</v>
      </c>
      <c r="N1006" s="55" t="str">
        <f>IF(AND('331-CT'!$E$7=TH!H1006,OR(L1006="331",M1006="331")),"x","")</f>
        <v/>
      </c>
      <c r="O1006" s="55" t="str">
        <f>IF(AND($B1006&gt;='111'!$N$11,$B1006&lt;='111'!$O$11,OR($L1006=$O$7,$M1006=$O$7)),"x","")</f>
        <v/>
      </c>
      <c r="P1006" s="55" t="str">
        <f>IF(AND($L1006=$O$7,$B1006&lt;'111'!$N$11),"x","")</f>
        <v/>
      </c>
      <c r="Q1006" s="55" t="str">
        <f>IF(AND($M1006=$O$7,$B1006&lt;'111'!$N$11),"x","")</f>
        <v/>
      </c>
      <c r="R1006" s="55" t="str">
        <f>IF(ISERROR(FIND('112'!$M$9,G1006,1)),"",IF((AND(FIND('112'!$M$9,G1006,1)&gt;=1,$B1006&gt;='112'!$N$8,$B1006&lt;='112'!$O$8,OR($L1006='112'!$I$6,$M1006='112'!$I$6))),"x",""))</f>
        <v/>
      </c>
      <c r="S1006" s="55" t="str">
        <f>IF(ISERROR(FIND('112'!$M$9,G1006,1)),"",IF((AND(LEFT(G1006,2)=LEFT('112'!$M$9,2),B1006&lt;'112'!$N$8,$L1006='112'!$I$6)),"x",""))</f>
        <v/>
      </c>
      <c r="T1006" s="55" t="str">
        <f>IF(ISERROR(FIND('112'!$M$9,G1006,1)),"",IF((AND(RIGHT(G1006,2)=RIGHT('112'!$M$9,2),B1006&lt;'112'!$N$8,$M1006='112'!$I$6)),"x",""))</f>
        <v/>
      </c>
      <c r="U1006" s="55" t="str">
        <f>IF(AND('3411-CT'!$F$9=H1006,OR(LEFT(L1006,3)=$U$7,LEFT(M1006,3)=$U$7)),"x","")</f>
        <v/>
      </c>
      <c r="V1006" s="55" t="str">
        <f>IF(OR(TH!L1006=TH!$V$7,M1006=TH!$V$7),"x","")</f>
        <v/>
      </c>
      <c r="W1006" s="55" t="str">
        <f>IF(AND(OR(L1006="131",M1006="131"),H1006='131-CT'!$E$7),"x","")</f>
        <v/>
      </c>
      <c r="X1006" s="55" t="str">
        <f>IF(AND(B1006&gt;='IN-NX'!$P$3,B1006&lt;='IN-NX'!$Q$3,'IN-NX'!$D$7=D1006,OR(LEFT(TH!L1006,2)="15",LEFT(TH!M1006,2)="15")),"x","")</f>
        <v/>
      </c>
      <c r="Y1006" s="55" t="str">
        <f>IF(AND(OR(LEFT(TH!L1006,2)="15",LEFT(TH!M1006,2)="15"),'152-CT'!$J$8=TH!F1006),"x","")</f>
        <v/>
      </c>
      <c r="Z1006" s="55" t="str">
        <f>IF(AND(OR(LEFT(TH!L1006,2)="15",LEFT(TH!M1006,2)="15"),TK!$E$7=TH!F1006),"x","")</f>
        <v/>
      </c>
      <c r="AA1006" s="55" t="str">
        <f>IF(AND(B1006&lt;=NKC!$N$8,B1006&gt;=NKC!$M$8),"x","")</f>
        <v/>
      </c>
      <c r="AC1006" s="226"/>
    </row>
    <row r="1007" spans="1:29" ht="15.75" customHeight="1">
      <c r="A1007" s="219" t="str">
        <f>IF(B1007&lt;&gt;"",IF(AND(B1007&gt;=_TM1,B1007&lt;=_TM2,OR(TH!L1007="1111",TH!M1007="1111")),TH!D1007,""),"")</f>
        <v/>
      </c>
      <c r="B1007" s="36">
        <f t="shared" si="39"/>
        <v>3</v>
      </c>
      <c r="C1007" s="205">
        <f t="shared" si="40"/>
        <v>40980</v>
      </c>
      <c r="D1007" s="205"/>
      <c r="E1007" s="205">
        <v>40980</v>
      </c>
      <c r="F1007" s="206" t="s">
        <v>1205</v>
      </c>
      <c r="G1007" s="581" t="s">
        <v>1206</v>
      </c>
      <c r="H1007" s="207" t="s">
        <v>1207</v>
      </c>
      <c r="I1007" s="277">
        <v>701</v>
      </c>
      <c r="J1007" s="277">
        <v>6990</v>
      </c>
      <c r="K1007" s="698">
        <f t="shared" si="43"/>
        <v>4899990</v>
      </c>
      <c r="L1007" s="208" t="s">
        <v>49</v>
      </c>
      <c r="M1007" s="208" t="s">
        <v>208</v>
      </c>
      <c r="N1007" s="55" t="str">
        <f>IF(AND('331-CT'!$E$7=TH!H1007,OR(L1007="331",M1007="331")),"x","")</f>
        <v/>
      </c>
      <c r="O1007" s="55" t="str">
        <f>IF(AND($B1007&gt;='111'!$N$11,$B1007&lt;='111'!$O$11,OR($L1007=$O$7,$M1007=$O$7)),"x","")</f>
        <v/>
      </c>
      <c r="P1007" s="55" t="str">
        <f>IF(AND($L1007=$O$7,$B1007&lt;'111'!$N$11),"x","")</f>
        <v>x</v>
      </c>
      <c r="Q1007" s="55" t="str">
        <f>IF(AND($M1007=$O$7,$B1007&lt;'111'!$N$11),"x","")</f>
        <v/>
      </c>
      <c r="R1007" s="55" t="str">
        <f>IF(ISERROR(FIND('112'!$M$9,G1007,1)),"",IF((AND(FIND('112'!$M$9,G1007,1)&gt;=1,$B1007&gt;='112'!$N$8,$B1007&lt;='112'!$O$8,OR($L1007='112'!$I$6,$M1007='112'!$I$6))),"x",""))</f>
        <v/>
      </c>
      <c r="S1007" s="55" t="str">
        <f>IF(ISERROR(FIND('112'!$M$9,G1007,1)),"",IF((AND(LEFT(G1007,2)=LEFT('112'!$M$9,2),B1007&lt;'112'!$N$8,$L1007='112'!$I$6)),"x",""))</f>
        <v/>
      </c>
      <c r="T1007" s="55" t="str">
        <f>IF(ISERROR(FIND('112'!$M$9,G1007,1)),"",IF((AND(RIGHT(G1007,2)=RIGHT('112'!$M$9,2),B1007&lt;'112'!$N$8,$M1007='112'!$I$6)),"x",""))</f>
        <v/>
      </c>
      <c r="U1007" s="55" t="str">
        <f>IF(AND('3411-CT'!$F$9=H1007,OR(LEFT(L1007,3)=$U$7,LEFT(M1007,3)=$U$7)),"x","")</f>
        <v/>
      </c>
      <c r="V1007" s="55" t="str">
        <f>IF(OR(TH!L1007=TH!$V$7,M1007=TH!$V$7),"x","")</f>
        <v/>
      </c>
      <c r="W1007" s="55" t="str">
        <f>IF(AND(OR(L1007="131",M1007="131"),H1007='131-CT'!$E$7),"x","")</f>
        <v/>
      </c>
      <c r="X1007" s="55" t="str">
        <f>IF(AND(B1007&gt;='IN-NX'!$P$3,B1007&lt;='IN-NX'!$Q$3,'IN-NX'!$D$7=D1007,OR(LEFT(TH!L1007,2)="15",LEFT(TH!M1007,2)="15")),"x","")</f>
        <v/>
      </c>
      <c r="Y1007" s="55" t="str">
        <f>IF(AND(OR(LEFT(TH!L1007,2)="15",LEFT(TH!M1007,2)="15"),'152-CT'!$J$8=TH!F1007),"x","")</f>
        <v/>
      </c>
      <c r="Z1007" s="55" t="str">
        <f>IF(AND(OR(LEFT(TH!L1007,2)="15",LEFT(TH!M1007,2)="15"),TK!$E$7=TH!F1007),"x","")</f>
        <v/>
      </c>
      <c r="AA1007" s="55" t="str">
        <f>IF(AND(B1007&lt;=NKC!$N$8,B1007&gt;=NKC!$M$8),"x","")</f>
        <v/>
      </c>
    </row>
    <row r="1008" spans="1:29" ht="15.75" customHeight="1">
      <c r="A1008" s="219" t="str">
        <f>IF(B1008&lt;&gt;"",IF(AND(B1008&gt;=_TM1,B1008&lt;=_TM2,OR(TH!L1008="1111",TH!M1008="1111")),TH!D1008,""),"")</f>
        <v/>
      </c>
      <c r="B1008" s="36">
        <f t="shared" si="39"/>
        <v>3</v>
      </c>
      <c r="C1008" s="205">
        <f t="shared" si="40"/>
        <v>40980</v>
      </c>
      <c r="D1008" s="205"/>
      <c r="E1008" s="205">
        <v>40980</v>
      </c>
      <c r="F1008" s="206" t="s">
        <v>1208</v>
      </c>
      <c r="G1008" s="581" t="s">
        <v>1206</v>
      </c>
      <c r="H1008" s="207" t="s">
        <v>1207</v>
      </c>
      <c r="I1008" s="277">
        <v>299</v>
      </c>
      <c r="J1008" s="277">
        <v>8050</v>
      </c>
      <c r="K1008" s="698">
        <f t="shared" si="43"/>
        <v>2406950</v>
      </c>
      <c r="L1008" s="208" t="s">
        <v>49</v>
      </c>
      <c r="M1008" s="208" t="s">
        <v>208</v>
      </c>
      <c r="N1008" s="55" t="str">
        <f>IF(AND('331-CT'!$E$7=TH!H1008,OR(L1008="331",M1008="331")),"x","")</f>
        <v/>
      </c>
      <c r="O1008" s="55" t="str">
        <f>IF(AND($B1008&gt;='111'!$N$11,$B1008&lt;='111'!$O$11,OR($L1008=$O$7,$M1008=$O$7)),"x","")</f>
        <v/>
      </c>
      <c r="P1008" s="55" t="str">
        <f>IF(AND($L1008=$O$7,$B1008&lt;'111'!$N$11),"x","")</f>
        <v>x</v>
      </c>
      <c r="Q1008" s="55" t="str">
        <f>IF(AND($M1008=$O$7,$B1008&lt;'111'!$N$11),"x","")</f>
        <v/>
      </c>
      <c r="R1008" s="55" t="str">
        <f>IF(ISERROR(FIND('112'!$M$9,G1008,1)),"",IF((AND(FIND('112'!$M$9,G1008,1)&gt;=1,$B1008&gt;='112'!$N$8,$B1008&lt;='112'!$O$8,OR($L1008='112'!$I$6,$M1008='112'!$I$6))),"x",""))</f>
        <v/>
      </c>
      <c r="S1008" s="55" t="str">
        <f>IF(ISERROR(FIND('112'!$M$9,G1008,1)),"",IF((AND(LEFT(G1008,2)=LEFT('112'!$M$9,2),B1008&lt;'112'!$N$8,$L1008='112'!$I$6)),"x",""))</f>
        <v/>
      </c>
      <c r="T1008" s="55" t="str">
        <f>IF(ISERROR(FIND('112'!$M$9,G1008,1)),"",IF((AND(RIGHT(G1008,2)=RIGHT('112'!$M$9,2),B1008&lt;'112'!$N$8,$M1008='112'!$I$6)),"x",""))</f>
        <v/>
      </c>
      <c r="U1008" s="55" t="str">
        <f>IF(AND('3411-CT'!$F$9=H1008,OR(LEFT(L1008,3)=$U$7,LEFT(M1008,3)=$U$7)),"x","")</f>
        <v/>
      </c>
      <c r="V1008" s="55" t="str">
        <f>IF(OR(TH!L1008=TH!$V$7,M1008=TH!$V$7),"x","")</f>
        <v/>
      </c>
      <c r="W1008" s="55" t="str">
        <f>IF(AND(OR(L1008="131",M1008="131"),H1008='131-CT'!$E$7),"x","")</f>
        <v/>
      </c>
      <c r="X1008" s="55" t="str">
        <f>IF(AND(B1008&gt;='IN-NX'!$P$3,B1008&lt;='IN-NX'!$Q$3,'IN-NX'!$D$7=D1008,OR(LEFT(TH!L1008,2)="15",LEFT(TH!M1008,2)="15")),"x","")</f>
        <v/>
      </c>
      <c r="Y1008" s="55" t="str">
        <f>IF(AND(OR(LEFT(TH!L1008,2)="15",LEFT(TH!M1008,2)="15"),'152-CT'!$J$8=TH!F1008),"x","")</f>
        <v/>
      </c>
      <c r="Z1008" s="55" t="str">
        <f>IF(AND(OR(LEFT(TH!L1008,2)="15",LEFT(TH!M1008,2)="15"),TK!$E$7=TH!F1008),"x","")</f>
        <v/>
      </c>
      <c r="AA1008" s="55" t="str">
        <f>IF(AND(B1008&lt;=NKC!$N$8,B1008&gt;=NKC!$M$8),"x","")</f>
        <v/>
      </c>
    </row>
    <row r="1009" spans="1:29" ht="15.75" customHeight="1">
      <c r="A1009" s="219" t="str">
        <f>IF(B1009&lt;&gt;"",IF(AND(B1009&gt;=_TM1,B1009&lt;=_TM2,OR(TH!L1009="1111",TH!M1009="1111")),TH!D1009,""),"")</f>
        <v/>
      </c>
      <c r="B1009" s="36">
        <f t="shared" si="39"/>
        <v>3</v>
      </c>
      <c r="C1009" s="205">
        <f t="shared" si="40"/>
        <v>40980</v>
      </c>
      <c r="D1009" s="205"/>
      <c r="E1009" s="205">
        <v>40980</v>
      </c>
      <c r="F1009" s="206" t="s">
        <v>1209</v>
      </c>
      <c r="G1009" s="581" t="s">
        <v>1206</v>
      </c>
      <c r="H1009" s="207" t="s">
        <v>1207</v>
      </c>
      <c r="I1009" s="277">
        <v>56</v>
      </c>
      <c r="J1009" s="277">
        <v>7380</v>
      </c>
      <c r="K1009" s="698">
        <f t="shared" si="43"/>
        <v>413280</v>
      </c>
      <c r="L1009" s="208" t="s">
        <v>49</v>
      </c>
      <c r="M1009" s="208" t="s">
        <v>208</v>
      </c>
      <c r="N1009" s="55" t="str">
        <f>IF(AND('331-CT'!$E$7=TH!H1009,OR(L1009="331",M1009="331")),"x","")</f>
        <v/>
      </c>
      <c r="O1009" s="55" t="str">
        <f>IF(AND($B1009&gt;='111'!$N$11,$B1009&lt;='111'!$O$11,OR($L1009=$O$7,$M1009=$O$7)),"x","")</f>
        <v/>
      </c>
      <c r="P1009" s="55" t="str">
        <f>IF(AND($L1009=$O$7,$B1009&lt;'111'!$N$11),"x","")</f>
        <v>x</v>
      </c>
      <c r="Q1009" s="55" t="str">
        <f>IF(AND($M1009=$O$7,$B1009&lt;'111'!$N$11),"x","")</f>
        <v/>
      </c>
      <c r="R1009" s="55" t="str">
        <f>IF(ISERROR(FIND('112'!$M$9,G1009,1)),"",IF((AND(FIND('112'!$M$9,G1009,1)&gt;=1,$B1009&gt;='112'!$N$8,$B1009&lt;='112'!$O$8,OR($L1009='112'!$I$6,$M1009='112'!$I$6))),"x",""))</f>
        <v/>
      </c>
      <c r="S1009" s="55" t="str">
        <f>IF(ISERROR(FIND('112'!$M$9,G1009,1)),"",IF((AND(LEFT(G1009,2)=LEFT('112'!$M$9,2),B1009&lt;'112'!$N$8,$L1009='112'!$I$6)),"x",""))</f>
        <v/>
      </c>
      <c r="T1009" s="55" t="str">
        <f>IF(ISERROR(FIND('112'!$M$9,G1009,1)),"",IF((AND(RIGHT(G1009,2)=RIGHT('112'!$M$9,2),B1009&lt;'112'!$N$8,$M1009='112'!$I$6)),"x",""))</f>
        <v/>
      </c>
      <c r="U1009" s="55" t="str">
        <f>IF(AND('3411-CT'!$F$9=H1009,OR(LEFT(L1009,3)=$U$7,LEFT(M1009,3)=$U$7)),"x","")</f>
        <v/>
      </c>
      <c r="V1009" s="55" t="str">
        <f>IF(OR(TH!L1009=TH!$V$7,M1009=TH!$V$7),"x","")</f>
        <v/>
      </c>
      <c r="W1009" s="55" t="str">
        <f>IF(AND(OR(L1009="131",M1009="131"),H1009='131-CT'!$E$7),"x","")</f>
        <v/>
      </c>
      <c r="X1009" s="55" t="str">
        <f>IF(AND(B1009&gt;='IN-NX'!$P$3,B1009&lt;='IN-NX'!$Q$3,'IN-NX'!$D$7=D1009,OR(LEFT(TH!L1009,2)="15",LEFT(TH!M1009,2)="15")),"x","")</f>
        <v/>
      </c>
      <c r="Y1009" s="55" t="str">
        <f>IF(AND(OR(LEFT(TH!L1009,2)="15",LEFT(TH!M1009,2)="15"),'152-CT'!$J$8=TH!F1009),"x","")</f>
        <v/>
      </c>
      <c r="Z1009" s="55" t="str">
        <f>IF(AND(OR(LEFT(TH!L1009,2)="15",LEFT(TH!M1009,2)="15"),TK!$E$7=TH!F1009),"x","")</f>
        <v/>
      </c>
      <c r="AA1009" s="55" t="str">
        <f>IF(AND(B1009&lt;=NKC!$N$8,B1009&gt;=NKC!$M$8),"x","")</f>
        <v/>
      </c>
    </row>
    <row r="1010" spans="1:29" ht="15.75" customHeight="1">
      <c r="A1010" s="219" t="str">
        <f>IF(B1010&lt;&gt;"",IF(AND(B1010&gt;=_TM1,B1010&lt;=_TM2,OR(TH!L1010="1111",TH!M1010="1111")),TH!D1010,""),"")</f>
        <v/>
      </c>
      <c r="B1010" s="36">
        <f t="shared" si="39"/>
        <v>3</v>
      </c>
      <c r="C1010" s="205">
        <f t="shared" si="40"/>
        <v>40980</v>
      </c>
      <c r="D1010" s="205"/>
      <c r="E1010" s="205">
        <v>40980</v>
      </c>
      <c r="F1010" s="206" t="s">
        <v>1210</v>
      </c>
      <c r="G1010" s="581" t="s">
        <v>1206</v>
      </c>
      <c r="H1010" s="207" t="s">
        <v>1207</v>
      </c>
      <c r="I1010" s="277">
        <v>68</v>
      </c>
      <c r="J1010" s="277">
        <v>9512</v>
      </c>
      <c r="K1010" s="698">
        <f t="shared" si="43"/>
        <v>646816</v>
      </c>
      <c r="L1010" s="208" t="s">
        <v>49</v>
      </c>
      <c r="M1010" s="208" t="s">
        <v>208</v>
      </c>
      <c r="N1010" s="55" t="str">
        <f>IF(AND('331-CT'!$E$7=TH!H1010,OR(L1010="331",M1010="331")),"x","")</f>
        <v/>
      </c>
      <c r="O1010" s="55" t="str">
        <f>IF(AND($B1010&gt;='111'!$N$11,$B1010&lt;='111'!$O$11,OR($L1010=$O$7,$M1010=$O$7)),"x","")</f>
        <v/>
      </c>
      <c r="P1010" s="55" t="str">
        <f>IF(AND($L1010=$O$7,$B1010&lt;'111'!$N$11),"x","")</f>
        <v>x</v>
      </c>
      <c r="Q1010" s="55" t="str">
        <f>IF(AND($M1010=$O$7,$B1010&lt;'111'!$N$11),"x","")</f>
        <v/>
      </c>
      <c r="R1010" s="55" t="str">
        <f>IF(ISERROR(FIND('112'!$M$9,G1010,1)),"",IF((AND(FIND('112'!$M$9,G1010,1)&gt;=1,$B1010&gt;='112'!$N$8,$B1010&lt;='112'!$O$8,OR($L1010='112'!$I$6,$M1010='112'!$I$6))),"x",""))</f>
        <v/>
      </c>
      <c r="S1010" s="55" t="str">
        <f>IF(ISERROR(FIND('112'!$M$9,G1010,1)),"",IF((AND(LEFT(G1010,2)=LEFT('112'!$M$9,2),B1010&lt;'112'!$N$8,$L1010='112'!$I$6)),"x",""))</f>
        <v/>
      </c>
      <c r="T1010" s="55" t="str">
        <f>IF(ISERROR(FIND('112'!$M$9,G1010,1)),"",IF((AND(RIGHT(G1010,2)=RIGHT('112'!$M$9,2),B1010&lt;'112'!$N$8,$M1010='112'!$I$6)),"x",""))</f>
        <v/>
      </c>
      <c r="U1010" s="55" t="str">
        <f>IF(AND('3411-CT'!$F$9=H1010,OR(LEFT(L1010,3)=$U$7,LEFT(M1010,3)=$U$7)),"x","")</f>
        <v/>
      </c>
      <c r="V1010" s="55" t="str">
        <f>IF(OR(TH!L1010=TH!$V$7,M1010=TH!$V$7),"x","")</f>
        <v/>
      </c>
      <c r="W1010" s="55" t="str">
        <f>IF(AND(OR(L1010="131",M1010="131"),H1010='131-CT'!$E$7),"x","")</f>
        <v/>
      </c>
      <c r="X1010" s="55" t="str">
        <f>IF(AND(B1010&gt;='IN-NX'!$P$3,B1010&lt;='IN-NX'!$Q$3,'IN-NX'!$D$7=D1010,OR(LEFT(TH!L1010,2)="15",LEFT(TH!M1010,2)="15")),"x","")</f>
        <v/>
      </c>
      <c r="Y1010" s="55" t="str">
        <f>IF(AND(OR(LEFT(TH!L1010,2)="15",LEFT(TH!M1010,2)="15"),'152-CT'!$J$8=TH!F1010),"x","")</f>
        <v/>
      </c>
      <c r="Z1010" s="55" t="str">
        <f>IF(AND(OR(LEFT(TH!L1010,2)="15",LEFT(TH!M1010,2)="15"),TK!$E$7=TH!F1010),"x","")</f>
        <v/>
      </c>
      <c r="AA1010" s="55" t="str">
        <f>IF(AND(B1010&lt;=NKC!$N$8,B1010&gt;=NKC!$M$8),"x","")</f>
        <v/>
      </c>
    </row>
    <row r="1011" spans="1:29" ht="15.75" customHeight="1">
      <c r="A1011" s="219" t="str">
        <f>IF(B1011&lt;&gt;"",IF(AND(B1011&gt;=_TM1,B1011&lt;=_TM2,OR(TH!L1011="1111",TH!M1011="1111")),TH!D1011,""),"")</f>
        <v/>
      </c>
      <c r="B1011" s="36">
        <f t="shared" si="39"/>
        <v>3</v>
      </c>
      <c r="C1011" s="205">
        <f t="shared" si="40"/>
        <v>40980</v>
      </c>
      <c r="D1011" s="205"/>
      <c r="E1011" s="205">
        <v>40980</v>
      </c>
      <c r="F1011" s="206" t="s">
        <v>1211</v>
      </c>
      <c r="G1011" s="581" t="s">
        <v>1206</v>
      </c>
      <c r="H1011" s="207" t="s">
        <v>1207</v>
      </c>
      <c r="I1011" s="277">
        <v>108</v>
      </c>
      <c r="J1011" s="277">
        <v>6585</v>
      </c>
      <c r="K1011" s="698">
        <f t="shared" si="43"/>
        <v>711180</v>
      </c>
      <c r="L1011" s="208" t="s">
        <v>49</v>
      </c>
      <c r="M1011" s="208" t="s">
        <v>208</v>
      </c>
      <c r="N1011" s="55" t="str">
        <f>IF(AND('331-CT'!$E$7=TH!H1011,OR(L1011="331",M1011="331")),"x","")</f>
        <v/>
      </c>
      <c r="O1011" s="55" t="str">
        <f>IF(AND($B1011&gt;='111'!$N$11,$B1011&lt;='111'!$O$11,OR($L1011=$O$7,$M1011=$O$7)),"x","")</f>
        <v/>
      </c>
      <c r="P1011" s="55" t="str">
        <f>IF(AND($L1011=$O$7,$B1011&lt;'111'!$N$11),"x","")</f>
        <v>x</v>
      </c>
      <c r="Q1011" s="55" t="str">
        <f>IF(AND($M1011=$O$7,$B1011&lt;'111'!$N$11),"x","")</f>
        <v/>
      </c>
      <c r="R1011" s="55" t="str">
        <f>IF(ISERROR(FIND('112'!$M$9,G1011,1)),"",IF((AND(FIND('112'!$M$9,G1011,1)&gt;=1,$B1011&gt;='112'!$N$8,$B1011&lt;='112'!$O$8,OR($L1011='112'!$I$6,$M1011='112'!$I$6))),"x",""))</f>
        <v/>
      </c>
      <c r="S1011" s="55" t="str">
        <f>IF(ISERROR(FIND('112'!$M$9,G1011,1)),"",IF((AND(LEFT(G1011,2)=LEFT('112'!$M$9,2),B1011&lt;'112'!$N$8,$L1011='112'!$I$6)),"x",""))</f>
        <v/>
      </c>
      <c r="T1011" s="55" t="str">
        <f>IF(ISERROR(FIND('112'!$M$9,G1011,1)),"",IF((AND(RIGHT(G1011,2)=RIGHT('112'!$M$9,2),B1011&lt;'112'!$N$8,$M1011='112'!$I$6)),"x",""))</f>
        <v/>
      </c>
      <c r="U1011" s="55" t="str">
        <f>IF(AND('3411-CT'!$F$9=H1011,OR(LEFT(L1011,3)=$U$7,LEFT(M1011,3)=$U$7)),"x","")</f>
        <v/>
      </c>
      <c r="V1011" s="55" t="str">
        <f>IF(OR(TH!L1011=TH!$V$7,M1011=TH!$V$7),"x","")</f>
        <v/>
      </c>
      <c r="W1011" s="55" t="str">
        <f>IF(AND(OR(L1011="131",M1011="131"),H1011='131-CT'!$E$7),"x","")</f>
        <v/>
      </c>
      <c r="X1011" s="55" t="str">
        <f>IF(AND(B1011&gt;='IN-NX'!$P$3,B1011&lt;='IN-NX'!$Q$3,'IN-NX'!$D$7=D1011,OR(LEFT(TH!L1011,2)="15",LEFT(TH!M1011,2)="15")),"x","")</f>
        <v/>
      </c>
      <c r="Y1011" s="55" t="str">
        <f>IF(AND(OR(LEFT(TH!L1011,2)="15",LEFT(TH!M1011,2)="15"),'152-CT'!$J$8=TH!F1011),"x","")</f>
        <v/>
      </c>
      <c r="Z1011" s="55" t="str">
        <f>IF(AND(OR(LEFT(TH!L1011,2)="15",LEFT(TH!M1011,2)="15"),TK!$E$7=TH!F1011),"x","")</f>
        <v/>
      </c>
      <c r="AA1011" s="55" t="str">
        <f>IF(AND(B1011&lt;=NKC!$N$8,B1011&gt;=NKC!$M$8),"x","")</f>
        <v/>
      </c>
    </row>
    <row r="1012" spans="1:29" ht="15.75" customHeight="1">
      <c r="A1012" s="219" t="str">
        <f>IF(B1012&lt;&gt;"",IF(AND(B1012&gt;=_TM1,B1012&lt;=_TM2,OR(TH!L1012="1111",TH!M1012="1111")),TH!D1012,""),"")</f>
        <v/>
      </c>
      <c r="B1012" s="36">
        <f t="shared" si="39"/>
        <v>3</v>
      </c>
      <c r="C1012" s="205">
        <f t="shared" si="40"/>
        <v>40980</v>
      </c>
      <c r="D1012" s="205"/>
      <c r="E1012" s="205">
        <v>40980</v>
      </c>
      <c r="F1012" s="206" t="s">
        <v>1185</v>
      </c>
      <c r="G1012" s="581" t="s">
        <v>1206</v>
      </c>
      <c r="H1012" s="207" t="s">
        <v>1207</v>
      </c>
      <c r="I1012" s="277"/>
      <c r="J1012" s="277"/>
      <c r="K1012" s="698">
        <v>907822</v>
      </c>
      <c r="L1012" s="208" t="s">
        <v>49</v>
      </c>
      <c r="M1012" s="208" t="s">
        <v>549</v>
      </c>
      <c r="N1012" s="55" t="str">
        <f>IF(AND('331-CT'!$E$7=TH!H1012,OR(L1012="331",M1012="331")),"x","")</f>
        <v/>
      </c>
      <c r="O1012" s="55" t="str">
        <f>IF(AND($B1012&gt;='111'!$N$11,$B1012&lt;='111'!$O$11,OR($L1012=$O$7,$M1012=$O$7)),"x","")</f>
        <v/>
      </c>
      <c r="P1012" s="55" t="str">
        <f>IF(AND($L1012=$O$7,$B1012&lt;'111'!$N$11),"x","")</f>
        <v>x</v>
      </c>
      <c r="Q1012" s="55" t="str">
        <f>IF(AND($M1012=$O$7,$B1012&lt;'111'!$N$11),"x","")</f>
        <v/>
      </c>
      <c r="R1012" s="55" t="str">
        <f>IF(ISERROR(FIND('112'!$M$9,G1012,1)),"",IF((AND(FIND('112'!$M$9,G1012,1)&gt;=1,$B1012&gt;='112'!$N$8,$B1012&lt;='112'!$O$8,OR($L1012='112'!$I$6,$M1012='112'!$I$6))),"x",""))</f>
        <v/>
      </c>
      <c r="S1012" s="55" t="str">
        <f>IF(ISERROR(FIND('112'!$M$9,G1012,1)),"",IF((AND(LEFT(G1012,2)=LEFT('112'!$M$9,2),B1012&lt;'112'!$N$8,$L1012='112'!$I$6)),"x",""))</f>
        <v/>
      </c>
      <c r="T1012" s="55" t="str">
        <f>IF(ISERROR(FIND('112'!$M$9,G1012,1)),"",IF((AND(RIGHT(G1012,2)=RIGHT('112'!$M$9,2),B1012&lt;'112'!$N$8,$M1012='112'!$I$6)),"x",""))</f>
        <v/>
      </c>
      <c r="U1012" s="55" t="str">
        <f>IF(AND('3411-CT'!$F$9=H1012,OR(LEFT(L1012,3)=$U$7,LEFT(M1012,3)=$U$7)),"x","")</f>
        <v/>
      </c>
      <c r="V1012" s="55" t="str">
        <f>IF(OR(TH!L1012=TH!$V$7,M1012=TH!$V$7),"x","")</f>
        <v/>
      </c>
      <c r="W1012" s="55" t="str">
        <f>IF(AND(OR(L1012="131",M1012="131"),H1012='131-CT'!$E$7),"x","")</f>
        <v/>
      </c>
      <c r="X1012" s="55" t="str">
        <f>IF(AND(B1012&gt;='IN-NX'!$P$3,B1012&lt;='IN-NX'!$Q$3,'IN-NX'!$D$7=D1012,OR(LEFT(TH!L1012,2)="15",LEFT(TH!M1012,2)="15")),"x","")</f>
        <v/>
      </c>
      <c r="Y1012" s="55" t="str">
        <f>IF(AND(OR(LEFT(TH!L1012,2)="15",LEFT(TH!M1012,2)="15"),'152-CT'!$J$8=TH!F1012),"x","")</f>
        <v/>
      </c>
      <c r="Z1012" s="55" t="str">
        <f>IF(AND(OR(LEFT(TH!L1012,2)="15",LEFT(TH!M1012,2)="15"),TK!$E$7=TH!F1012),"x","")</f>
        <v/>
      </c>
      <c r="AA1012" s="55" t="str">
        <f>IF(AND(B1012&lt;=NKC!$N$8,B1012&gt;=NKC!$M$8),"x","")</f>
        <v/>
      </c>
      <c r="AC1012" s="226"/>
    </row>
    <row r="1013" spans="1:29" ht="15.75" customHeight="1">
      <c r="A1013" s="219" t="str">
        <f>IF(B1013&lt;&gt;"",IF(AND(B1013&gt;=_TM1,B1013&lt;=_TM2,OR(TH!L1013="1111",TH!M1013="1111")),TH!D1013,""),"")</f>
        <v/>
      </c>
      <c r="B1013" s="36">
        <f t="shared" si="39"/>
        <v>3</v>
      </c>
      <c r="C1013" s="205">
        <f t="shared" ref="C1013:C1075" si="44">E1013</f>
        <v>40988</v>
      </c>
      <c r="D1013" s="205"/>
      <c r="E1013" s="205">
        <v>40988</v>
      </c>
      <c r="F1013" s="206" t="s">
        <v>1212</v>
      </c>
      <c r="G1013" s="581" t="s">
        <v>1213</v>
      </c>
      <c r="H1013" s="7" t="s">
        <v>416</v>
      </c>
      <c r="I1013" s="277">
        <v>2985</v>
      </c>
      <c r="J1013" s="277">
        <v>5600</v>
      </c>
      <c r="K1013" s="698">
        <f t="shared" si="43"/>
        <v>16716000</v>
      </c>
      <c r="L1013" s="208" t="s">
        <v>311</v>
      </c>
      <c r="M1013" s="208" t="s">
        <v>208</v>
      </c>
      <c r="N1013" s="55" t="str">
        <f>IF(AND('331-CT'!$E$7=TH!H1013,OR(L1013="331",M1013="331")),"x","")</f>
        <v/>
      </c>
      <c r="O1013" s="55" t="str">
        <f>IF(AND($B1013&gt;='111'!$N$11,$B1013&lt;='111'!$O$11,OR($L1013=$O$7,$M1013=$O$7)),"x","")</f>
        <v/>
      </c>
      <c r="P1013" s="55" t="str">
        <f>IF(AND($L1013=$O$7,$B1013&lt;'111'!$N$11),"x","")</f>
        <v/>
      </c>
      <c r="Q1013" s="55" t="str">
        <f>IF(AND($M1013=$O$7,$B1013&lt;'111'!$N$11),"x","")</f>
        <v/>
      </c>
      <c r="R1013" s="55" t="str">
        <f>IF(ISERROR(FIND('112'!$M$9,G1013,1)),"",IF((AND(FIND('112'!$M$9,G1013,1)&gt;=1,$B1013&gt;='112'!$N$8,$B1013&lt;='112'!$O$8,OR($L1013='112'!$I$6,$M1013='112'!$I$6))),"x",""))</f>
        <v/>
      </c>
      <c r="S1013" s="55" t="str">
        <f>IF(ISERROR(FIND('112'!$M$9,G1013,1)),"",IF((AND(LEFT(G1013,2)=LEFT('112'!$M$9,2),B1013&lt;'112'!$N$8,$L1013='112'!$I$6)),"x",""))</f>
        <v/>
      </c>
      <c r="T1013" s="55" t="str">
        <f>IF(ISERROR(FIND('112'!$M$9,G1013,1)),"",IF((AND(RIGHT(G1013,2)=RIGHT('112'!$M$9,2),B1013&lt;'112'!$N$8,$M1013='112'!$I$6)),"x",""))</f>
        <v/>
      </c>
      <c r="U1013" s="55" t="str">
        <f>IF(AND('3411-CT'!$F$9=H1013,OR(LEFT(L1013,3)=$U$7,LEFT(M1013,3)=$U$7)),"x","")</f>
        <v/>
      </c>
      <c r="V1013" s="55" t="str">
        <f>IF(OR(TH!L1013=TH!$V$7,M1013=TH!$V$7),"x","")</f>
        <v/>
      </c>
      <c r="W1013" s="55" t="str">
        <f>IF(AND(OR(L1013="131",M1013="131"),H1013='131-CT'!$E$7),"x","")</f>
        <v/>
      </c>
      <c r="X1013" s="55" t="str">
        <f>IF(AND(B1013&gt;='IN-NX'!$P$3,B1013&lt;='IN-NX'!$Q$3,'IN-NX'!$D$7=D1013,OR(LEFT(TH!L1013,2)="15",LEFT(TH!M1013,2)="15")),"x","")</f>
        <v/>
      </c>
      <c r="Y1013" s="55" t="str">
        <f>IF(AND(OR(LEFT(TH!L1013,2)="15",LEFT(TH!M1013,2)="15"),'152-CT'!$J$8=TH!F1013),"x","")</f>
        <v/>
      </c>
      <c r="Z1013" s="55" t="str">
        <f>IF(AND(OR(LEFT(TH!L1013,2)="15",LEFT(TH!M1013,2)="15"),TK!$E$7=TH!F1013),"x","")</f>
        <v/>
      </c>
      <c r="AA1013" s="55" t="str">
        <f>IF(AND(B1013&lt;=NKC!$N$8,B1013&gt;=NKC!$M$8),"x","")</f>
        <v/>
      </c>
    </row>
    <row r="1014" spans="1:29" ht="15.75" customHeight="1">
      <c r="A1014" s="219" t="str">
        <f>IF(B1014&lt;&gt;"",IF(AND(B1014&gt;=_TM1,B1014&lt;=_TM2,OR(TH!L1014="1111",TH!M1014="1111")),TH!D1014,""),"")</f>
        <v/>
      </c>
      <c r="B1014" s="36">
        <f t="shared" si="39"/>
        <v>3</v>
      </c>
      <c r="C1014" s="205">
        <f t="shared" si="44"/>
        <v>40988</v>
      </c>
      <c r="D1014" s="205"/>
      <c r="E1014" s="205">
        <v>40988</v>
      </c>
      <c r="F1014" s="206" t="s">
        <v>1214</v>
      </c>
      <c r="G1014" s="581" t="s">
        <v>1213</v>
      </c>
      <c r="H1014" s="7" t="s">
        <v>416</v>
      </c>
      <c r="I1014" s="277">
        <v>622</v>
      </c>
      <c r="J1014" s="277">
        <v>5098</v>
      </c>
      <c r="K1014" s="698">
        <f t="shared" si="43"/>
        <v>3170956</v>
      </c>
      <c r="L1014" s="208" t="s">
        <v>311</v>
      </c>
      <c r="M1014" s="208" t="s">
        <v>208</v>
      </c>
      <c r="N1014" s="55" t="str">
        <f>IF(AND('331-CT'!$E$7=TH!H1014,OR(L1014="331",M1014="331")),"x","")</f>
        <v/>
      </c>
      <c r="O1014" s="55" t="str">
        <f>IF(AND($B1014&gt;='111'!$N$11,$B1014&lt;='111'!$O$11,OR($L1014=$O$7,$M1014=$O$7)),"x","")</f>
        <v/>
      </c>
      <c r="P1014" s="55" t="str">
        <f>IF(AND($L1014=$O$7,$B1014&lt;'111'!$N$11),"x","")</f>
        <v/>
      </c>
      <c r="Q1014" s="55" t="str">
        <f>IF(AND($M1014=$O$7,$B1014&lt;'111'!$N$11),"x","")</f>
        <v/>
      </c>
      <c r="R1014" s="55" t="str">
        <f>IF(ISERROR(FIND('112'!$M$9,G1014,1)),"",IF((AND(FIND('112'!$M$9,G1014,1)&gt;=1,$B1014&gt;='112'!$N$8,$B1014&lt;='112'!$O$8,OR($L1014='112'!$I$6,$M1014='112'!$I$6))),"x",""))</f>
        <v/>
      </c>
      <c r="S1014" s="55" t="str">
        <f>IF(ISERROR(FIND('112'!$M$9,G1014,1)),"",IF((AND(LEFT(G1014,2)=LEFT('112'!$M$9,2),B1014&lt;'112'!$N$8,$L1014='112'!$I$6)),"x",""))</f>
        <v/>
      </c>
      <c r="T1014" s="55" t="str">
        <f>IF(ISERROR(FIND('112'!$M$9,G1014,1)),"",IF((AND(RIGHT(G1014,2)=RIGHT('112'!$M$9,2),B1014&lt;'112'!$N$8,$M1014='112'!$I$6)),"x",""))</f>
        <v/>
      </c>
      <c r="U1014" s="55" t="str">
        <f>IF(AND('3411-CT'!$F$9=H1014,OR(LEFT(L1014,3)=$U$7,LEFT(M1014,3)=$U$7)),"x","")</f>
        <v/>
      </c>
      <c r="V1014" s="55" t="str">
        <f>IF(OR(TH!L1014=TH!$V$7,M1014=TH!$V$7),"x","")</f>
        <v/>
      </c>
      <c r="W1014" s="55" t="str">
        <f>IF(AND(OR(L1014="131",M1014="131"),H1014='131-CT'!$E$7),"x","")</f>
        <v/>
      </c>
      <c r="X1014" s="55" t="str">
        <f>IF(AND(B1014&gt;='IN-NX'!$P$3,B1014&lt;='IN-NX'!$Q$3,'IN-NX'!$D$7=D1014,OR(LEFT(TH!L1014,2)="15",LEFT(TH!M1014,2)="15")),"x","")</f>
        <v/>
      </c>
      <c r="Y1014" s="55" t="str">
        <f>IF(AND(OR(LEFT(TH!L1014,2)="15",LEFT(TH!M1014,2)="15"),'152-CT'!$J$8=TH!F1014),"x","")</f>
        <v/>
      </c>
      <c r="Z1014" s="55" t="str">
        <f>IF(AND(OR(LEFT(TH!L1014,2)="15",LEFT(TH!M1014,2)="15"),TK!$E$7=TH!F1014),"x","")</f>
        <v/>
      </c>
      <c r="AA1014" s="55" t="str">
        <f>IF(AND(B1014&lt;=NKC!$N$8,B1014&gt;=NKC!$M$8),"x","")</f>
        <v/>
      </c>
    </row>
    <row r="1015" spans="1:29" ht="15.75" customHeight="1">
      <c r="A1015" s="219" t="str">
        <f>IF(B1015&lt;&gt;"",IF(AND(B1015&gt;=_TM1,B1015&lt;=_TM2,OR(TH!L1015="1111",TH!M1015="1111")),TH!D1015,""),"")</f>
        <v/>
      </c>
      <c r="B1015" s="36">
        <f t="shared" si="39"/>
        <v>3</v>
      </c>
      <c r="C1015" s="205">
        <f t="shared" si="44"/>
        <v>40988</v>
      </c>
      <c r="D1015" s="205"/>
      <c r="E1015" s="205">
        <v>40988</v>
      </c>
      <c r="F1015" s="206" t="s">
        <v>1185</v>
      </c>
      <c r="G1015" s="581" t="s">
        <v>1213</v>
      </c>
      <c r="H1015" s="7" t="s">
        <v>416</v>
      </c>
      <c r="I1015" s="277"/>
      <c r="J1015" s="277"/>
      <c r="K1015" s="698">
        <v>1988695</v>
      </c>
      <c r="L1015" s="208" t="s">
        <v>311</v>
      </c>
      <c r="M1015" s="208" t="s">
        <v>549</v>
      </c>
      <c r="N1015" s="55" t="str">
        <f>IF(AND('331-CT'!$E$7=TH!H1015,OR(L1015="331",M1015="331")),"x","")</f>
        <v/>
      </c>
      <c r="O1015" s="55" t="str">
        <f>IF(AND($B1015&gt;='111'!$N$11,$B1015&lt;='111'!$O$11,OR($L1015=$O$7,$M1015=$O$7)),"x","")</f>
        <v/>
      </c>
      <c r="P1015" s="55" t="str">
        <f>IF(AND($L1015=$O$7,$B1015&lt;'111'!$N$11),"x","")</f>
        <v/>
      </c>
      <c r="Q1015" s="55" t="str">
        <f>IF(AND($M1015=$O$7,$B1015&lt;'111'!$N$11),"x","")</f>
        <v/>
      </c>
      <c r="R1015" s="55" t="str">
        <f>IF(ISERROR(FIND('112'!$M$9,G1015,1)),"",IF((AND(FIND('112'!$M$9,G1015,1)&gt;=1,$B1015&gt;='112'!$N$8,$B1015&lt;='112'!$O$8,OR($L1015='112'!$I$6,$M1015='112'!$I$6))),"x",""))</f>
        <v/>
      </c>
      <c r="S1015" s="55" t="str">
        <f>IF(ISERROR(FIND('112'!$M$9,G1015,1)),"",IF((AND(LEFT(G1015,2)=LEFT('112'!$M$9,2),B1015&lt;'112'!$N$8,$L1015='112'!$I$6)),"x",""))</f>
        <v/>
      </c>
      <c r="T1015" s="55" t="str">
        <f>IF(ISERROR(FIND('112'!$M$9,G1015,1)),"",IF((AND(RIGHT(G1015,2)=RIGHT('112'!$M$9,2),B1015&lt;'112'!$N$8,$M1015='112'!$I$6)),"x",""))</f>
        <v/>
      </c>
      <c r="U1015" s="55" t="str">
        <f>IF(AND('3411-CT'!$F$9=H1015,OR(LEFT(L1015,3)=$U$7,LEFT(M1015,3)=$U$7)),"x","")</f>
        <v/>
      </c>
      <c r="V1015" s="55" t="str">
        <f>IF(OR(TH!L1015=TH!$V$7,M1015=TH!$V$7),"x","")</f>
        <v/>
      </c>
      <c r="W1015" s="55" t="str">
        <f>IF(AND(OR(L1015="131",M1015="131"),H1015='131-CT'!$E$7),"x","")</f>
        <v/>
      </c>
      <c r="X1015" s="55" t="str">
        <f>IF(AND(B1015&gt;='IN-NX'!$P$3,B1015&lt;='IN-NX'!$Q$3,'IN-NX'!$D$7=D1015,OR(LEFT(TH!L1015,2)="15",LEFT(TH!M1015,2)="15")),"x","")</f>
        <v/>
      </c>
      <c r="Y1015" s="55" t="str">
        <f>IF(AND(OR(LEFT(TH!L1015,2)="15",LEFT(TH!M1015,2)="15"),'152-CT'!$J$8=TH!F1015),"x","")</f>
        <v/>
      </c>
      <c r="Z1015" s="55" t="str">
        <f>IF(AND(OR(LEFT(TH!L1015,2)="15",LEFT(TH!M1015,2)="15"),TK!$E$7=TH!F1015),"x","")</f>
        <v/>
      </c>
      <c r="AA1015" s="55" t="str">
        <f>IF(AND(B1015&lt;=NKC!$N$8,B1015&gt;=NKC!$M$8),"x","")</f>
        <v/>
      </c>
      <c r="AC1015" s="226"/>
    </row>
    <row r="1016" spans="1:29" ht="15.75" customHeight="1">
      <c r="A1016" s="219" t="str">
        <f>IF(B1016&lt;&gt;"",IF(AND(B1016&gt;=_TM1,B1016&lt;=_TM2,OR(TH!L1016="1111",TH!M1016="1111")),TH!D1016,""),"")</f>
        <v/>
      </c>
      <c r="B1016" s="36">
        <f t="shared" si="39"/>
        <v>3</v>
      </c>
      <c r="C1016" s="205">
        <f t="shared" si="44"/>
        <v>40989</v>
      </c>
      <c r="D1016" s="205"/>
      <c r="E1016" s="205">
        <v>40989</v>
      </c>
      <c r="F1016" s="206" t="s">
        <v>1215</v>
      </c>
      <c r="G1016" s="581" t="s">
        <v>1216</v>
      </c>
      <c r="H1016" s="207" t="s">
        <v>1217</v>
      </c>
      <c r="I1016" s="277">
        <v>1030</v>
      </c>
      <c r="J1016" s="277">
        <v>11850</v>
      </c>
      <c r="K1016" s="698">
        <f t="shared" si="43"/>
        <v>12205500</v>
      </c>
      <c r="L1016" s="208" t="s">
        <v>49</v>
      </c>
      <c r="M1016" s="208" t="s">
        <v>208</v>
      </c>
      <c r="N1016" s="55" t="str">
        <f>IF(AND('331-CT'!$E$7=TH!H1016,OR(L1016="331",M1016="331")),"x","")</f>
        <v/>
      </c>
      <c r="O1016" s="55" t="str">
        <f>IF(AND($B1016&gt;='111'!$N$11,$B1016&lt;='111'!$O$11,OR($L1016=$O$7,$M1016=$O$7)),"x","")</f>
        <v/>
      </c>
      <c r="P1016" s="55" t="str">
        <f>IF(AND($L1016=$O$7,$B1016&lt;'111'!$N$11),"x","")</f>
        <v>x</v>
      </c>
      <c r="Q1016" s="55" t="str">
        <f>IF(AND($M1016=$O$7,$B1016&lt;'111'!$N$11),"x","")</f>
        <v/>
      </c>
      <c r="R1016" s="55" t="str">
        <f>IF(ISERROR(FIND('112'!$M$9,G1016,1)),"",IF((AND(FIND('112'!$M$9,G1016,1)&gt;=1,$B1016&gt;='112'!$N$8,$B1016&lt;='112'!$O$8,OR($L1016='112'!$I$6,$M1016='112'!$I$6))),"x",""))</f>
        <v/>
      </c>
      <c r="S1016" s="55" t="str">
        <f>IF(ISERROR(FIND('112'!$M$9,G1016,1)),"",IF((AND(LEFT(G1016,2)=LEFT('112'!$M$9,2),B1016&lt;'112'!$N$8,$L1016='112'!$I$6)),"x",""))</f>
        <v/>
      </c>
      <c r="T1016" s="55" t="str">
        <f>IF(ISERROR(FIND('112'!$M$9,G1016,1)),"",IF((AND(RIGHT(G1016,2)=RIGHT('112'!$M$9,2),B1016&lt;'112'!$N$8,$M1016='112'!$I$6)),"x",""))</f>
        <v/>
      </c>
      <c r="U1016" s="55" t="str">
        <f>IF(AND('3411-CT'!$F$9=H1016,OR(LEFT(L1016,3)=$U$7,LEFT(M1016,3)=$U$7)),"x","")</f>
        <v/>
      </c>
      <c r="V1016" s="55" t="str">
        <f>IF(OR(TH!L1016=TH!$V$7,M1016=TH!$V$7),"x","")</f>
        <v/>
      </c>
      <c r="W1016" s="55" t="str">
        <f>IF(AND(OR(L1016="131",M1016="131"),H1016='131-CT'!$E$7),"x","")</f>
        <v/>
      </c>
      <c r="X1016" s="55" t="str">
        <f>IF(AND(B1016&gt;='IN-NX'!$P$3,B1016&lt;='IN-NX'!$Q$3,'IN-NX'!$D$7=D1016,OR(LEFT(TH!L1016,2)="15",LEFT(TH!M1016,2)="15")),"x","")</f>
        <v/>
      </c>
      <c r="Y1016" s="55" t="str">
        <f>IF(AND(OR(LEFT(TH!L1016,2)="15",LEFT(TH!M1016,2)="15"),'152-CT'!$J$8=TH!F1016),"x","")</f>
        <v/>
      </c>
      <c r="Z1016" s="55" t="str">
        <f>IF(AND(OR(LEFT(TH!L1016,2)="15",LEFT(TH!M1016,2)="15"),TK!$E$7=TH!F1016),"x","")</f>
        <v/>
      </c>
      <c r="AA1016" s="55" t="str">
        <f>IF(AND(B1016&lt;=NKC!$N$8,B1016&gt;=NKC!$M$8),"x","")</f>
        <v/>
      </c>
    </row>
    <row r="1017" spans="1:29" ht="15.75" customHeight="1">
      <c r="A1017" s="219" t="str">
        <f>IF(B1017&lt;&gt;"",IF(AND(B1017&gt;=_TM1,B1017&lt;=_TM2,OR(TH!L1017="1111",TH!M1017="1111")),TH!D1017,""),"")</f>
        <v/>
      </c>
      <c r="B1017" s="36">
        <f t="shared" si="39"/>
        <v>3</v>
      </c>
      <c r="C1017" s="205">
        <f t="shared" si="44"/>
        <v>40989</v>
      </c>
      <c r="D1017" s="205"/>
      <c r="E1017" s="205">
        <v>40989</v>
      </c>
      <c r="F1017" s="206" t="s">
        <v>1185</v>
      </c>
      <c r="G1017" s="581" t="s">
        <v>1216</v>
      </c>
      <c r="H1017" s="207" t="s">
        <v>1217</v>
      </c>
      <c r="I1017" s="277"/>
      <c r="J1017" s="277"/>
      <c r="K1017" s="698">
        <v>1220550</v>
      </c>
      <c r="L1017" s="208" t="s">
        <v>49</v>
      </c>
      <c r="M1017" s="208" t="s">
        <v>549</v>
      </c>
      <c r="N1017" s="55" t="str">
        <f>IF(AND('331-CT'!$E$7=TH!H1017,OR(L1017="331",M1017="331")),"x","")</f>
        <v/>
      </c>
      <c r="O1017" s="55" t="str">
        <f>IF(AND($B1017&gt;='111'!$N$11,$B1017&lt;='111'!$O$11,OR($L1017=$O$7,$M1017=$O$7)),"x","")</f>
        <v/>
      </c>
      <c r="P1017" s="55" t="str">
        <f>IF(AND($L1017=$O$7,$B1017&lt;'111'!$N$11),"x","")</f>
        <v>x</v>
      </c>
      <c r="Q1017" s="55" t="str">
        <f>IF(AND($M1017=$O$7,$B1017&lt;'111'!$N$11),"x","")</f>
        <v/>
      </c>
      <c r="R1017" s="55" t="str">
        <f>IF(ISERROR(FIND('112'!$M$9,G1017,1)),"",IF((AND(FIND('112'!$M$9,G1017,1)&gt;=1,$B1017&gt;='112'!$N$8,$B1017&lt;='112'!$O$8,OR($L1017='112'!$I$6,$M1017='112'!$I$6))),"x",""))</f>
        <v/>
      </c>
      <c r="S1017" s="55" t="str">
        <f>IF(ISERROR(FIND('112'!$M$9,G1017,1)),"",IF((AND(LEFT(G1017,2)=LEFT('112'!$M$9,2),B1017&lt;'112'!$N$8,$L1017='112'!$I$6)),"x",""))</f>
        <v/>
      </c>
      <c r="T1017" s="55" t="str">
        <f>IF(ISERROR(FIND('112'!$M$9,G1017,1)),"",IF((AND(RIGHT(G1017,2)=RIGHT('112'!$M$9,2),B1017&lt;'112'!$N$8,$M1017='112'!$I$6)),"x",""))</f>
        <v/>
      </c>
      <c r="U1017" s="55" t="str">
        <f>IF(AND('3411-CT'!$F$9=H1017,OR(LEFT(L1017,3)=$U$7,LEFT(M1017,3)=$U$7)),"x","")</f>
        <v/>
      </c>
      <c r="V1017" s="55" t="str">
        <f>IF(OR(TH!L1017=TH!$V$7,M1017=TH!$V$7),"x","")</f>
        <v/>
      </c>
      <c r="W1017" s="55" t="str">
        <f>IF(AND(OR(L1017="131",M1017="131"),H1017='131-CT'!$E$7),"x","")</f>
        <v/>
      </c>
      <c r="X1017" s="55" t="str">
        <f>IF(AND(B1017&gt;='IN-NX'!$P$3,B1017&lt;='IN-NX'!$Q$3,'IN-NX'!$D$7=D1017,OR(LEFT(TH!L1017,2)="15",LEFT(TH!M1017,2)="15")),"x","")</f>
        <v/>
      </c>
      <c r="Y1017" s="55" t="str">
        <f>IF(AND(OR(LEFT(TH!L1017,2)="15",LEFT(TH!M1017,2)="15"),'152-CT'!$J$8=TH!F1017),"x","")</f>
        <v/>
      </c>
      <c r="Z1017" s="55" t="str">
        <f>IF(AND(OR(LEFT(TH!L1017,2)="15",LEFT(TH!M1017,2)="15"),TK!$E$7=TH!F1017),"x","")</f>
        <v/>
      </c>
      <c r="AA1017" s="55" t="str">
        <f>IF(AND(B1017&lt;=NKC!$N$8,B1017&gt;=NKC!$M$8),"x","")</f>
        <v/>
      </c>
      <c r="AC1017" s="226"/>
    </row>
    <row r="1018" spans="1:29" ht="15.75" customHeight="1">
      <c r="A1018" s="219" t="str">
        <f>IF(B1018&lt;&gt;"",IF(AND(B1018&gt;=_TM1,B1018&lt;=_TM2,OR(TH!L1018="1111",TH!M1018="1111")),TH!D1018,""),"")</f>
        <v/>
      </c>
      <c r="B1018" s="36">
        <f t="shared" si="39"/>
        <v>3</v>
      </c>
      <c r="C1018" s="205">
        <f t="shared" si="44"/>
        <v>40989</v>
      </c>
      <c r="D1018" s="205"/>
      <c r="E1018" s="205">
        <v>40989</v>
      </c>
      <c r="F1018" s="206" t="s">
        <v>1218</v>
      </c>
      <c r="G1018" s="581" t="s">
        <v>1219</v>
      </c>
      <c r="H1018" s="47" t="s">
        <v>1220</v>
      </c>
      <c r="I1018" s="277">
        <v>210</v>
      </c>
      <c r="J1018" s="277">
        <v>21779</v>
      </c>
      <c r="K1018" s="698">
        <f t="shared" si="43"/>
        <v>4573590</v>
      </c>
      <c r="L1018" s="208" t="s">
        <v>49</v>
      </c>
      <c r="M1018" s="208" t="s">
        <v>208</v>
      </c>
      <c r="N1018" s="55" t="str">
        <f>IF(AND('331-CT'!$E$7=TH!H1018,OR(L1018="331",M1018="331")),"x","")</f>
        <v/>
      </c>
      <c r="O1018" s="55" t="str">
        <f>IF(AND($B1018&gt;='111'!$N$11,$B1018&lt;='111'!$O$11,OR($L1018=$O$7,$M1018=$O$7)),"x","")</f>
        <v/>
      </c>
      <c r="P1018" s="55" t="str">
        <f>IF(AND($L1018=$O$7,$B1018&lt;'111'!$N$11),"x","")</f>
        <v>x</v>
      </c>
      <c r="Q1018" s="55" t="str">
        <f>IF(AND($M1018=$O$7,$B1018&lt;'111'!$N$11),"x","")</f>
        <v/>
      </c>
      <c r="R1018" s="55" t="str">
        <f>IF(ISERROR(FIND('112'!$M$9,G1018,1)),"",IF((AND(FIND('112'!$M$9,G1018,1)&gt;=1,$B1018&gt;='112'!$N$8,$B1018&lt;='112'!$O$8,OR($L1018='112'!$I$6,$M1018='112'!$I$6))),"x",""))</f>
        <v/>
      </c>
      <c r="S1018" s="55" t="str">
        <f>IF(ISERROR(FIND('112'!$M$9,G1018,1)),"",IF((AND(LEFT(G1018,2)=LEFT('112'!$M$9,2),B1018&lt;'112'!$N$8,$L1018='112'!$I$6)),"x",""))</f>
        <v/>
      </c>
      <c r="T1018" s="55" t="str">
        <f>IF(ISERROR(FIND('112'!$M$9,G1018,1)),"",IF((AND(RIGHT(G1018,2)=RIGHT('112'!$M$9,2),B1018&lt;'112'!$N$8,$M1018='112'!$I$6)),"x",""))</f>
        <v/>
      </c>
      <c r="U1018" s="55" t="str">
        <f>IF(AND('3411-CT'!$F$9=H1018,OR(LEFT(L1018,3)=$U$7,LEFT(M1018,3)=$U$7)),"x","")</f>
        <v/>
      </c>
      <c r="V1018" s="55" t="str">
        <f>IF(OR(TH!L1018=TH!$V$7,M1018=TH!$V$7),"x","")</f>
        <v/>
      </c>
      <c r="W1018" s="55" t="str">
        <f>IF(AND(OR(L1018="131",M1018="131"),H1018='131-CT'!$E$7),"x","")</f>
        <v/>
      </c>
      <c r="X1018" s="55" t="str">
        <f>IF(AND(B1018&gt;='IN-NX'!$P$3,B1018&lt;='IN-NX'!$Q$3,'IN-NX'!$D$7=D1018,OR(LEFT(TH!L1018,2)="15",LEFT(TH!M1018,2)="15")),"x","")</f>
        <v/>
      </c>
      <c r="Y1018" s="55" t="str">
        <f>IF(AND(OR(LEFT(TH!L1018,2)="15",LEFT(TH!M1018,2)="15"),'152-CT'!$J$8=TH!F1018),"x","")</f>
        <v/>
      </c>
      <c r="Z1018" s="55" t="str">
        <f>IF(AND(OR(LEFT(TH!L1018,2)="15",LEFT(TH!M1018,2)="15"),TK!$E$7=TH!F1018),"x","")</f>
        <v/>
      </c>
      <c r="AA1018" s="55" t="str">
        <f>IF(AND(B1018&lt;=NKC!$N$8,B1018&gt;=NKC!$M$8),"x","")</f>
        <v/>
      </c>
    </row>
    <row r="1019" spans="1:29" ht="15.75" customHeight="1">
      <c r="A1019" s="219" t="str">
        <f>IF(B1019&lt;&gt;"",IF(AND(B1019&gt;=_TM1,B1019&lt;=_TM2,OR(TH!L1019="1111",TH!M1019="1111")),TH!D1019,""),"")</f>
        <v/>
      </c>
      <c r="B1019" s="36">
        <f t="shared" si="39"/>
        <v>3</v>
      </c>
      <c r="C1019" s="205">
        <f t="shared" si="44"/>
        <v>40989</v>
      </c>
      <c r="D1019" s="205"/>
      <c r="E1019" s="205">
        <v>40989</v>
      </c>
      <c r="F1019" s="206" t="s">
        <v>1221</v>
      </c>
      <c r="G1019" s="581" t="s">
        <v>1219</v>
      </c>
      <c r="H1019" s="47" t="s">
        <v>1220</v>
      </c>
      <c r="I1019" s="277">
        <v>210</v>
      </c>
      <c r="J1019" s="277">
        <v>4600</v>
      </c>
      <c r="K1019" s="698">
        <f t="shared" si="43"/>
        <v>966000</v>
      </c>
      <c r="L1019" s="208" t="s">
        <v>49</v>
      </c>
      <c r="M1019" s="208" t="s">
        <v>208</v>
      </c>
      <c r="N1019" s="55" t="str">
        <f>IF(AND('331-CT'!$E$7=TH!H1019,OR(L1019="331",M1019="331")),"x","")</f>
        <v/>
      </c>
      <c r="O1019" s="55" t="str">
        <f>IF(AND($B1019&gt;='111'!$N$11,$B1019&lt;='111'!$O$11,OR($L1019=$O$7,$M1019=$O$7)),"x","")</f>
        <v/>
      </c>
      <c r="P1019" s="55" t="str">
        <f>IF(AND($L1019=$O$7,$B1019&lt;'111'!$N$11),"x","")</f>
        <v>x</v>
      </c>
      <c r="Q1019" s="55" t="str">
        <f>IF(AND($M1019=$O$7,$B1019&lt;'111'!$N$11),"x","")</f>
        <v/>
      </c>
      <c r="R1019" s="55" t="str">
        <f>IF(ISERROR(FIND('112'!$M$9,G1019,1)),"",IF((AND(FIND('112'!$M$9,G1019,1)&gt;=1,$B1019&gt;='112'!$N$8,$B1019&lt;='112'!$O$8,OR($L1019='112'!$I$6,$M1019='112'!$I$6))),"x",""))</f>
        <v/>
      </c>
      <c r="S1019" s="55" t="str">
        <f>IF(ISERROR(FIND('112'!$M$9,G1019,1)),"",IF((AND(LEFT(G1019,2)=LEFT('112'!$M$9,2),B1019&lt;'112'!$N$8,$L1019='112'!$I$6)),"x",""))</f>
        <v/>
      </c>
      <c r="T1019" s="55" t="str">
        <f>IF(ISERROR(FIND('112'!$M$9,G1019,1)),"",IF((AND(RIGHT(G1019,2)=RIGHT('112'!$M$9,2),B1019&lt;'112'!$N$8,$M1019='112'!$I$6)),"x",""))</f>
        <v/>
      </c>
      <c r="U1019" s="55" t="str">
        <f>IF(AND('3411-CT'!$F$9=H1019,OR(LEFT(L1019,3)=$U$7,LEFT(M1019,3)=$U$7)),"x","")</f>
        <v/>
      </c>
      <c r="V1019" s="55" t="str">
        <f>IF(OR(TH!L1019=TH!$V$7,M1019=TH!$V$7),"x","")</f>
        <v/>
      </c>
      <c r="W1019" s="55" t="str">
        <f>IF(AND(OR(L1019="131",M1019="131"),H1019='131-CT'!$E$7),"x","")</f>
        <v/>
      </c>
      <c r="X1019" s="55" t="str">
        <f>IF(AND(B1019&gt;='IN-NX'!$P$3,B1019&lt;='IN-NX'!$Q$3,'IN-NX'!$D$7=D1019,OR(LEFT(TH!L1019,2)="15",LEFT(TH!M1019,2)="15")),"x","")</f>
        <v/>
      </c>
      <c r="Y1019" s="55" t="str">
        <f>IF(AND(OR(LEFT(TH!L1019,2)="15",LEFT(TH!M1019,2)="15"),'152-CT'!$J$8=TH!F1019),"x","")</f>
        <v/>
      </c>
      <c r="Z1019" s="55" t="str">
        <f>IF(AND(OR(LEFT(TH!L1019,2)="15",LEFT(TH!M1019,2)="15"),TK!$E$7=TH!F1019),"x","")</f>
        <v/>
      </c>
      <c r="AA1019" s="55" t="str">
        <f>IF(AND(B1019&lt;=NKC!$N$8,B1019&gt;=NKC!$M$8),"x","")</f>
        <v/>
      </c>
    </row>
    <row r="1020" spans="1:29" ht="15.75" customHeight="1">
      <c r="A1020" s="219" t="str">
        <f>IF(B1020&lt;&gt;"",IF(AND(B1020&gt;=_TM1,B1020&lt;=_TM2,OR(TH!L1020="1111",TH!M1020="1111")),TH!D1020,""),"")</f>
        <v/>
      </c>
      <c r="B1020" s="36">
        <f t="shared" si="39"/>
        <v>3</v>
      </c>
      <c r="C1020" s="205">
        <f t="shared" si="44"/>
        <v>40989</v>
      </c>
      <c r="D1020" s="205"/>
      <c r="E1020" s="205">
        <v>40989</v>
      </c>
      <c r="F1020" s="206" t="s">
        <v>1185</v>
      </c>
      <c r="G1020" s="581" t="s">
        <v>1219</v>
      </c>
      <c r="H1020" s="47" t="s">
        <v>1220</v>
      </c>
      <c r="I1020" s="277"/>
      <c r="J1020" s="277"/>
      <c r="K1020" s="698">
        <v>553959</v>
      </c>
      <c r="L1020" s="208" t="s">
        <v>49</v>
      </c>
      <c r="M1020" s="208" t="s">
        <v>549</v>
      </c>
      <c r="N1020" s="55" t="str">
        <f>IF(AND('331-CT'!$E$7=TH!H1020,OR(L1020="331",M1020="331")),"x","")</f>
        <v/>
      </c>
      <c r="O1020" s="55" t="str">
        <f>IF(AND($B1020&gt;='111'!$N$11,$B1020&lt;='111'!$O$11,OR($L1020=$O$7,$M1020=$O$7)),"x","")</f>
        <v/>
      </c>
      <c r="P1020" s="55" t="str">
        <f>IF(AND($L1020=$O$7,$B1020&lt;'111'!$N$11),"x","")</f>
        <v>x</v>
      </c>
      <c r="Q1020" s="55" t="str">
        <f>IF(AND($M1020=$O$7,$B1020&lt;'111'!$N$11),"x","")</f>
        <v/>
      </c>
      <c r="R1020" s="55" t="str">
        <f>IF(ISERROR(FIND('112'!$M$9,G1020,1)),"",IF((AND(FIND('112'!$M$9,G1020,1)&gt;=1,$B1020&gt;='112'!$N$8,$B1020&lt;='112'!$O$8,OR($L1020='112'!$I$6,$M1020='112'!$I$6))),"x",""))</f>
        <v/>
      </c>
      <c r="S1020" s="55" t="str">
        <f>IF(ISERROR(FIND('112'!$M$9,G1020,1)),"",IF((AND(LEFT(G1020,2)=LEFT('112'!$M$9,2),B1020&lt;'112'!$N$8,$L1020='112'!$I$6)),"x",""))</f>
        <v/>
      </c>
      <c r="T1020" s="55" t="str">
        <f>IF(ISERROR(FIND('112'!$M$9,G1020,1)),"",IF((AND(RIGHT(G1020,2)=RIGHT('112'!$M$9,2),B1020&lt;'112'!$N$8,$M1020='112'!$I$6)),"x",""))</f>
        <v/>
      </c>
      <c r="U1020" s="55" t="str">
        <f>IF(AND('3411-CT'!$F$9=H1020,OR(LEFT(L1020,3)=$U$7,LEFT(M1020,3)=$U$7)),"x","")</f>
        <v/>
      </c>
      <c r="V1020" s="55" t="str">
        <f>IF(OR(TH!L1020=TH!$V$7,M1020=TH!$V$7),"x","")</f>
        <v/>
      </c>
      <c r="W1020" s="55" t="str">
        <f>IF(AND(OR(L1020="131",M1020="131"),H1020='131-CT'!$E$7),"x","")</f>
        <v/>
      </c>
      <c r="X1020" s="55" t="str">
        <f>IF(AND(B1020&gt;='IN-NX'!$P$3,B1020&lt;='IN-NX'!$Q$3,'IN-NX'!$D$7=D1020,OR(LEFT(TH!L1020,2)="15",LEFT(TH!M1020,2)="15")),"x","")</f>
        <v/>
      </c>
      <c r="Y1020" s="55" t="str">
        <f>IF(AND(OR(LEFT(TH!L1020,2)="15",LEFT(TH!M1020,2)="15"),'152-CT'!$J$8=TH!F1020),"x","")</f>
        <v/>
      </c>
      <c r="Z1020" s="55" t="str">
        <f>IF(AND(OR(LEFT(TH!L1020,2)="15",LEFT(TH!M1020,2)="15"),TK!$E$7=TH!F1020),"x","")</f>
        <v/>
      </c>
      <c r="AA1020" s="55" t="str">
        <f>IF(AND(B1020&lt;=NKC!$N$8,B1020&gt;=NKC!$M$8),"x","")</f>
        <v/>
      </c>
      <c r="AC1020" s="226"/>
    </row>
    <row r="1021" spans="1:29" ht="15.75" customHeight="1">
      <c r="A1021" s="219" t="str">
        <f>IF(B1021&lt;&gt;"",IF(AND(B1021&gt;=_TM1,B1021&lt;=_TM2,OR(TH!L1021="1111",TH!M1021="1111")),TH!D1021,""),"")</f>
        <v/>
      </c>
      <c r="B1021" s="36">
        <f t="shared" si="39"/>
        <v>3</v>
      </c>
      <c r="C1021" s="205">
        <f t="shared" si="44"/>
        <v>40989</v>
      </c>
      <c r="D1021" s="205"/>
      <c r="E1021" s="205">
        <v>40989</v>
      </c>
      <c r="F1021" s="206" t="s">
        <v>1222</v>
      </c>
      <c r="G1021" s="581" t="s">
        <v>1223</v>
      </c>
      <c r="H1021" s="207" t="s">
        <v>1176</v>
      </c>
      <c r="I1021" s="277">
        <v>308</v>
      </c>
      <c r="J1021" s="277">
        <v>15720</v>
      </c>
      <c r="K1021" s="698">
        <f t="shared" si="43"/>
        <v>4841760</v>
      </c>
      <c r="L1021" s="208" t="s">
        <v>311</v>
      </c>
      <c r="M1021" s="208" t="s">
        <v>208</v>
      </c>
      <c r="N1021" s="55" t="str">
        <f>IF(AND('331-CT'!$E$7=TH!H1021,OR(L1021="331",M1021="331")),"x","")</f>
        <v/>
      </c>
      <c r="O1021" s="55" t="str">
        <f>IF(AND($B1021&gt;='111'!$N$11,$B1021&lt;='111'!$O$11,OR($L1021=$O$7,$M1021=$O$7)),"x","")</f>
        <v/>
      </c>
      <c r="P1021" s="55" t="str">
        <f>IF(AND($L1021=$O$7,$B1021&lt;'111'!$N$11),"x","")</f>
        <v/>
      </c>
      <c r="Q1021" s="55" t="str">
        <f>IF(AND($M1021=$O$7,$B1021&lt;'111'!$N$11),"x","")</f>
        <v/>
      </c>
      <c r="R1021" s="55" t="str">
        <f>IF(ISERROR(FIND('112'!$M$9,G1021,1)),"",IF((AND(FIND('112'!$M$9,G1021,1)&gt;=1,$B1021&gt;='112'!$N$8,$B1021&lt;='112'!$O$8,OR($L1021='112'!$I$6,$M1021='112'!$I$6))),"x",""))</f>
        <v/>
      </c>
      <c r="S1021" s="55" t="str">
        <f>IF(ISERROR(FIND('112'!$M$9,G1021,1)),"",IF((AND(LEFT(G1021,2)=LEFT('112'!$M$9,2),B1021&lt;'112'!$N$8,$L1021='112'!$I$6)),"x",""))</f>
        <v/>
      </c>
      <c r="T1021" s="55" t="str">
        <f>IF(ISERROR(FIND('112'!$M$9,G1021,1)),"",IF((AND(RIGHT(G1021,2)=RIGHT('112'!$M$9,2),B1021&lt;'112'!$N$8,$M1021='112'!$I$6)),"x",""))</f>
        <v/>
      </c>
      <c r="U1021" s="55" t="str">
        <f>IF(AND('3411-CT'!$F$9=H1021,OR(LEFT(L1021,3)=$U$7,LEFT(M1021,3)=$U$7)),"x","")</f>
        <v/>
      </c>
      <c r="V1021" s="55" t="str">
        <f>IF(OR(TH!L1021=TH!$V$7,M1021=TH!$V$7),"x","")</f>
        <v/>
      </c>
      <c r="W1021" s="55" t="str">
        <f>IF(AND(OR(L1021="131",M1021="131"),H1021='131-CT'!$E$7),"x","")</f>
        <v/>
      </c>
      <c r="X1021" s="55" t="str">
        <f>IF(AND(B1021&gt;='IN-NX'!$P$3,B1021&lt;='IN-NX'!$Q$3,'IN-NX'!$D$7=D1021,OR(LEFT(TH!L1021,2)="15",LEFT(TH!M1021,2)="15")),"x","")</f>
        <v/>
      </c>
      <c r="Y1021" s="55" t="str">
        <f>IF(AND(OR(LEFT(TH!L1021,2)="15",LEFT(TH!M1021,2)="15"),'152-CT'!$J$8=TH!F1021),"x","")</f>
        <v/>
      </c>
      <c r="Z1021" s="55" t="str">
        <f>IF(AND(OR(LEFT(TH!L1021,2)="15",LEFT(TH!M1021,2)="15"),TK!$E$7=TH!F1021),"x","")</f>
        <v/>
      </c>
      <c r="AA1021" s="55" t="str">
        <f>IF(AND(B1021&lt;=NKC!$N$8,B1021&gt;=NKC!$M$8),"x","")</f>
        <v/>
      </c>
    </row>
    <row r="1022" spans="1:29" s="226" customFormat="1" ht="15.75" customHeight="1">
      <c r="A1022" s="219" t="str">
        <f>IF(B1022&lt;&gt;"",IF(AND(B1022&gt;=_TM1,B1022&lt;=_TM2,OR(TH!L1022="1111",TH!M1022="1111")),TH!D1022,""),"")</f>
        <v/>
      </c>
      <c r="B1022" s="36">
        <f t="shared" ref="B1022:B1055" si="45">IF(C1022&lt;&gt;"",MONTH(C1022),"")</f>
        <v>3</v>
      </c>
      <c r="C1022" s="205">
        <f t="shared" si="44"/>
        <v>40989</v>
      </c>
      <c r="D1022" s="205"/>
      <c r="E1022" s="205">
        <v>40989</v>
      </c>
      <c r="F1022" s="206" t="s">
        <v>1185</v>
      </c>
      <c r="G1022" s="581" t="s">
        <v>1223</v>
      </c>
      <c r="H1022" s="207" t="s">
        <v>1176</v>
      </c>
      <c r="I1022" s="277"/>
      <c r="J1022" s="277"/>
      <c r="K1022" s="698">
        <v>484176</v>
      </c>
      <c r="L1022" s="208" t="s">
        <v>311</v>
      </c>
      <c r="M1022" s="208" t="s">
        <v>549</v>
      </c>
      <c r="N1022" s="55" t="str">
        <f>IF(AND('331-CT'!$E$7=TH!H1022,OR(L1022="331",M1022="331")),"x","")</f>
        <v/>
      </c>
      <c r="O1022" s="55" t="str">
        <f>IF(AND($B1022&gt;='111'!$N$11,$B1022&lt;='111'!$O$11,OR($L1022=$O$7,$M1022=$O$7)),"x","")</f>
        <v/>
      </c>
      <c r="P1022" s="55" t="str">
        <f>IF(AND($L1022=$O$7,$B1022&lt;'111'!$N$11),"x","")</f>
        <v/>
      </c>
      <c r="Q1022" s="55" t="str">
        <f>IF(AND($M1022=$O$7,$B1022&lt;'111'!$N$11),"x","")</f>
        <v/>
      </c>
      <c r="R1022" s="55" t="str">
        <f>IF(ISERROR(FIND('112'!$M$9,G1022,1)),"",IF((AND(FIND('112'!$M$9,G1022,1)&gt;=1,$B1022&gt;='112'!$N$8,$B1022&lt;='112'!$O$8,OR($L1022='112'!$I$6,$M1022='112'!$I$6))),"x",""))</f>
        <v/>
      </c>
      <c r="S1022" s="55" t="str">
        <f>IF(ISERROR(FIND('112'!$M$9,G1022,1)),"",IF((AND(LEFT(G1022,2)=LEFT('112'!$M$9,2),B1022&lt;'112'!$N$8,$L1022='112'!$I$6)),"x",""))</f>
        <v/>
      </c>
      <c r="T1022" s="55" t="str">
        <f>IF(ISERROR(FIND('112'!$M$9,G1022,1)),"",IF((AND(RIGHT(G1022,2)=RIGHT('112'!$M$9,2),B1022&lt;'112'!$N$8,$M1022='112'!$I$6)),"x",""))</f>
        <v/>
      </c>
      <c r="U1022" s="55" t="str">
        <f>IF(AND('3411-CT'!$F$9=H1022,OR(LEFT(L1022,3)=$U$7,LEFT(M1022,3)=$U$7)),"x","")</f>
        <v/>
      </c>
      <c r="V1022" s="55" t="str">
        <f>IF(OR(TH!L1022=TH!$V$7,M1022=TH!$V$7),"x","")</f>
        <v/>
      </c>
      <c r="W1022" s="55" t="str">
        <f>IF(AND(OR(L1022="131",M1022="131"),H1022='131-CT'!$E$7),"x","")</f>
        <v/>
      </c>
      <c r="X1022" s="55" t="str">
        <f>IF(AND(B1022&gt;='IN-NX'!$P$3,B1022&lt;='IN-NX'!$Q$3,'IN-NX'!$D$7=D1022,OR(LEFT(TH!L1022,2)="15",LEFT(TH!M1022,2)="15")),"x","")</f>
        <v/>
      </c>
      <c r="Y1022" s="55" t="str">
        <f>IF(AND(OR(LEFT(TH!L1022,2)="15",LEFT(TH!M1022,2)="15"),'152-CT'!$J$8=TH!F1022),"x","")</f>
        <v/>
      </c>
      <c r="Z1022" s="55" t="str">
        <f>IF(AND(OR(LEFT(TH!L1022,2)="15",LEFT(TH!M1022,2)="15"),TK!$E$7=TH!F1022),"x","")</f>
        <v/>
      </c>
      <c r="AA1022" s="55" t="str">
        <f>IF(AND(B1022&lt;=NKC!$N$8,B1022&gt;=NKC!$M$8),"x","")</f>
        <v/>
      </c>
    </row>
    <row r="1023" spans="1:29" s="226" customFormat="1" ht="15.75" customHeight="1">
      <c r="A1023" s="219" t="str">
        <f>IF(B1023&lt;&gt;"",IF(AND(B1023&gt;=_TM1,B1023&lt;=_TM2,OR(TH!L1023="1111",TH!M1023="1111")),TH!D1023,""),"")</f>
        <v/>
      </c>
      <c r="B1023" s="36">
        <f t="shared" si="45"/>
        <v>3</v>
      </c>
      <c r="C1023" s="205">
        <f t="shared" si="44"/>
        <v>40995</v>
      </c>
      <c r="D1023" s="205"/>
      <c r="E1023" s="205">
        <v>40995</v>
      </c>
      <c r="F1023" s="206" t="s">
        <v>1224</v>
      </c>
      <c r="G1023" s="581" t="s">
        <v>1225</v>
      </c>
      <c r="H1023" s="207" t="s">
        <v>1207</v>
      </c>
      <c r="I1023" s="277">
        <v>1500</v>
      </c>
      <c r="J1023" s="277">
        <v>5300</v>
      </c>
      <c r="K1023" s="698">
        <f t="shared" si="43"/>
        <v>7950000</v>
      </c>
      <c r="L1023" s="208" t="s">
        <v>49</v>
      </c>
      <c r="M1023" s="208" t="s">
        <v>208</v>
      </c>
      <c r="N1023" s="55" t="str">
        <f>IF(AND('331-CT'!$E$7=TH!H1023,OR(L1023="331",M1023="331")),"x","")</f>
        <v/>
      </c>
      <c r="O1023" s="55" t="str">
        <f>IF(AND($B1023&gt;='111'!$N$11,$B1023&lt;='111'!$O$11,OR($L1023=$O$7,$M1023=$O$7)),"x","")</f>
        <v/>
      </c>
      <c r="P1023" s="55" t="str">
        <f>IF(AND($L1023=$O$7,$B1023&lt;'111'!$N$11),"x","")</f>
        <v>x</v>
      </c>
      <c r="Q1023" s="55" t="str">
        <f>IF(AND($M1023=$O$7,$B1023&lt;'111'!$N$11),"x","")</f>
        <v/>
      </c>
      <c r="R1023" s="55" t="str">
        <f>IF(ISERROR(FIND('112'!$M$9,G1023,1)),"",IF((AND(FIND('112'!$M$9,G1023,1)&gt;=1,$B1023&gt;='112'!$N$8,$B1023&lt;='112'!$O$8,OR($L1023='112'!$I$6,$M1023='112'!$I$6))),"x",""))</f>
        <v/>
      </c>
      <c r="S1023" s="55" t="str">
        <f>IF(ISERROR(FIND('112'!$M$9,G1023,1)),"",IF((AND(LEFT(G1023,2)=LEFT('112'!$M$9,2),B1023&lt;'112'!$N$8,$L1023='112'!$I$6)),"x",""))</f>
        <v/>
      </c>
      <c r="T1023" s="55" t="str">
        <f>IF(ISERROR(FIND('112'!$M$9,G1023,1)),"",IF((AND(RIGHT(G1023,2)=RIGHT('112'!$M$9,2),B1023&lt;'112'!$N$8,$M1023='112'!$I$6)),"x",""))</f>
        <v/>
      </c>
      <c r="U1023" s="55" t="str">
        <f>IF(AND('3411-CT'!$F$9=H1023,OR(LEFT(L1023,3)=$U$7,LEFT(M1023,3)=$U$7)),"x","")</f>
        <v/>
      </c>
      <c r="V1023" s="55" t="str">
        <f>IF(OR(TH!L1023=TH!$V$7,M1023=TH!$V$7),"x","")</f>
        <v/>
      </c>
      <c r="W1023" s="55" t="str">
        <f>IF(AND(OR(L1023="131",M1023="131"),H1023='131-CT'!$E$7),"x","")</f>
        <v/>
      </c>
      <c r="X1023" s="55" t="str">
        <f>IF(AND(B1023&gt;='IN-NX'!$P$3,B1023&lt;='IN-NX'!$Q$3,'IN-NX'!$D$7=D1023,OR(LEFT(TH!L1023,2)="15",LEFT(TH!M1023,2)="15")),"x","")</f>
        <v/>
      </c>
      <c r="Y1023" s="55" t="str">
        <f>IF(AND(OR(LEFT(TH!L1023,2)="15",LEFT(TH!M1023,2)="15"),'152-CT'!$J$8=TH!F1023),"x","")</f>
        <v/>
      </c>
      <c r="Z1023" s="55" t="str">
        <f>IF(AND(OR(LEFT(TH!L1023,2)="15",LEFT(TH!M1023,2)="15"),TK!$E$7=TH!F1023),"x","")</f>
        <v/>
      </c>
      <c r="AA1023" s="55" t="str">
        <f>IF(AND(B1023&lt;=NKC!$N$8,B1023&gt;=NKC!$M$8),"x","")</f>
        <v/>
      </c>
    </row>
    <row r="1024" spans="1:29" s="226" customFormat="1" ht="15.75" customHeight="1">
      <c r="A1024" s="219" t="str">
        <f>IF(B1024&lt;&gt;"",IF(AND(B1024&gt;=_TM1,B1024&lt;=_TM2,OR(TH!L1024="1111",TH!M1024="1111")),TH!D1024,""),"")</f>
        <v/>
      </c>
      <c r="B1024" s="36">
        <f t="shared" si="45"/>
        <v>3</v>
      </c>
      <c r="C1024" s="205">
        <f t="shared" si="44"/>
        <v>40995</v>
      </c>
      <c r="D1024" s="205"/>
      <c r="E1024" s="205">
        <v>40995</v>
      </c>
      <c r="F1024" s="206" t="s">
        <v>1226</v>
      </c>
      <c r="G1024" s="581" t="s">
        <v>1225</v>
      </c>
      <c r="H1024" s="207" t="s">
        <v>1207</v>
      </c>
      <c r="I1024" s="277">
        <v>504</v>
      </c>
      <c r="J1024" s="277">
        <v>5300</v>
      </c>
      <c r="K1024" s="698">
        <f t="shared" si="43"/>
        <v>2671200</v>
      </c>
      <c r="L1024" s="208" t="s">
        <v>49</v>
      </c>
      <c r="M1024" s="208" t="s">
        <v>208</v>
      </c>
      <c r="N1024" s="55" t="str">
        <f>IF(AND('331-CT'!$E$7=TH!H1024,OR(L1024="331",M1024="331")),"x","")</f>
        <v/>
      </c>
      <c r="O1024" s="55" t="str">
        <f>IF(AND($B1024&gt;='111'!$N$11,$B1024&lt;='111'!$O$11,OR($L1024=$O$7,$M1024=$O$7)),"x","")</f>
        <v/>
      </c>
      <c r="P1024" s="55" t="str">
        <f>IF(AND($L1024=$O$7,$B1024&lt;'111'!$N$11),"x","")</f>
        <v>x</v>
      </c>
      <c r="Q1024" s="55" t="str">
        <f>IF(AND($M1024=$O$7,$B1024&lt;'111'!$N$11),"x","")</f>
        <v/>
      </c>
      <c r="R1024" s="55" t="str">
        <f>IF(ISERROR(FIND('112'!$M$9,G1024,1)),"",IF((AND(FIND('112'!$M$9,G1024,1)&gt;=1,$B1024&gt;='112'!$N$8,$B1024&lt;='112'!$O$8,OR($L1024='112'!$I$6,$M1024='112'!$I$6))),"x",""))</f>
        <v/>
      </c>
      <c r="S1024" s="55" t="str">
        <f>IF(ISERROR(FIND('112'!$M$9,G1024,1)),"",IF((AND(LEFT(G1024,2)=LEFT('112'!$M$9,2),B1024&lt;'112'!$N$8,$L1024='112'!$I$6)),"x",""))</f>
        <v/>
      </c>
      <c r="T1024" s="55" t="str">
        <f>IF(ISERROR(FIND('112'!$M$9,G1024,1)),"",IF((AND(RIGHT(G1024,2)=RIGHT('112'!$M$9,2),B1024&lt;'112'!$N$8,$M1024='112'!$I$6)),"x",""))</f>
        <v/>
      </c>
      <c r="U1024" s="55" t="str">
        <f>IF(AND('3411-CT'!$F$9=H1024,OR(LEFT(L1024,3)=$U$7,LEFT(M1024,3)=$U$7)),"x","")</f>
        <v/>
      </c>
      <c r="V1024" s="55" t="str">
        <f>IF(OR(TH!L1024=TH!$V$7,M1024=TH!$V$7),"x","")</f>
        <v/>
      </c>
      <c r="W1024" s="55" t="str">
        <f>IF(AND(OR(L1024="131",M1024="131"),H1024='131-CT'!$E$7),"x","")</f>
        <v/>
      </c>
      <c r="X1024" s="55" t="str">
        <f>IF(AND(B1024&gt;='IN-NX'!$P$3,B1024&lt;='IN-NX'!$Q$3,'IN-NX'!$D$7=D1024,OR(LEFT(TH!L1024,2)="15",LEFT(TH!M1024,2)="15")),"x","")</f>
        <v/>
      </c>
      <c r="Y1024" s="55" t="str">
        <f>IF(AND(OR(LEFT(TH!L1024,2)="15",LEFT(TH!M1024,2)="15"),'152-CT'!$J$8=TH!F1024),"x","")</f>
        <v/>
      </c>
      <c r="Z1024" s="55" t="str">
        <f>IF(AND(OR(LEFT(TH!L1024,2)="15",LEFT(TH!M1024,2)="15"),TK!$E$7=TH!F1024),"x","")</f>
        <v/>
      </c>
      <c r="AA1024" s="55" t="str">
        <f>IF(AND(B1024&lt;=NKC!$N$8,B1024&gt;=NKC!$M$8),"x","")</f>
        <v/>
      </c>
    </row>
    <row r="1025" spans="1:29" s="226" customFormat="1" ht="15.75" customHeight="1">
      <c r="A1025" s="219" t="str">
        <f>IF(B1025&lt;&gt;"",IF(AND(B1025&gt;=_TM1,B1025&lt;=_TM2,OR(TH!L1025="1111",TH!M1025="1111")),TH!D1025,""),"")</f>
        <v/>
      </c>
      <c r="B1025" s="36">
        <f t="shared" si="45"/>
        <v>3</v>
      </c>
      <c r="C1025" s="205">
        <f t="shared" si="44"/>
        <v>40995</v>
      </c>
      <c r="D1025" s="205"/>
      <c r="E1025" s="205">
        <v>40995</v>
      </c>
      <c r="F1025" s="206" t="s">
        <v>1227</v>
      </c>
      <c r="G1025" s="581" t="s">
        <v>1225</v>
      </c>
      <c r="H1025" s="207" t="s">
        <v>1207</v>
      </c>
      <c r="I1025" s="277">
        <v>257</v>
      </c>
      <c r="J1025" s="277">
        <v>5300</v>
      </c>
      <c r="K1025" s="698">
        <f t="shared" si="43"/>
        <v>1362100</v>
      </c>
      <c r="L1025" s="208" t="s">
        <v>49</v>
      </c>
      <c r="M1025" s="208" t="s">
        <v>208</v>
      </c>
      <c r="N1025" s="55" t="str">
        <f>IF(AND('331-CT'!$E$7=TH!H1025,OR(L1025="331",M1025="331")),"x","")</f>
        <v/>
      </c>
      <c r="O1025" s="55" t="str">
        <f>IF(AND($B1025&gt;='111'!$N$11,$B1025&lt;='111'!$O$11,OR($L1025=$O$7,$M1025=$O$7)),"x","")</f>
        <v/>
      </c>
      <c r="P1025" s="55" t="str">
        <f>IF(AND($L1025=$O$7,$B1025&lt;'111'!$N$11),"x","")</f>
        <v>x</v>
      </c>
      <c r="Q1025" s="55" t="str">
        <f>IF(AND($M1025=$O$7,$B1025&lt;'111'!$N$11),"x","")</f>
        <v/>
      </c>
      <c r="R1025" s="55" t="str">
        <f>IF(ISERROR(FIND('112'!$M$9,G1025,1)),"",IF((AND(FIND('112'!$M$9,G1025,1)&gt;=1,$B1025&gt;='112'!$N$8,$B1025&lt;='112'!$O$8,OR($L1025='112'!$I$6,$M1025='112'!$I$6))),"x",""))</f>
        <v/>
      </c>
      <c r="S1025" s="55" t="str">
        <f>IF(ISERROR(FIND('112'!$M$9,G1025,1)),"",IF((AND(LEFT(G1025,2)=LEFT('112'!$M$9,2),B1025&lt;'112'!$N$8,$L1025='112'!$I$6)),"x",""))</f>
        <v/>
      </c>
      <c r="T1025" s="55" t="str">
        <f>IF(ISERROR(FIND('112'!$M$9,G1025,1)),"",IF((AND(RIGHT(G1025,2)=RIGHT('112'!$M$9,2),B1025&lt;'112'!$N$8,$M1025='112'!$I$6)),"x",""))</f>
        <v/>
      </c>
      <c r="U1025" s="55" t="str">
        <f>IF(AND('3411-CT'!$F$9=H1025,OR(LEFT(L1025,3)=$U$7,LEFT(M1025,3)=$U$7)),"x","")</f>
        <v/>
      </c>
      <c r="V1025" s="55" t="str">
        <f>IF(OR(TH!L1025=TH!$V$7,M1025=TH!$V$7),"x","")</f>
        <v/>
      </c>
      <c r="W1025" s="55" t="str">
        <f>IF(AND(OR(L1025="131",M1025="131"),H1025='131-CT'!$E$7),"x","")</f>
        <v/>
      </c>
      <c r="X1025" s="55" t="str">
        <f>IF(AND(B1025&gt;='IN-NX'!$P$3,B1025&lt;='IN-NX'!$Q$3,'IN-NX'!$D$7=D1025,OR(LEFT(TH!L1025,2)="15",LEFT(TH!M1025,2)="15")),"x","")</f>
        <v/>
      </c>
      <c r="Y1025" s="55" t="str">
        <f>IF(AND(OR(LEFT(TH!L1025,2)="15",LEFT(TH!M1025,2)="15"),'152-CT'!$J$8=TH!F1025),"x","")</f>
        <v/>
      </c>
      <c r="Z1025" s="55" t="str">
        <f>IF(AND(OR(LEFT(TH!L1025,2)="15",LEFT(TH!M1025,2)="15"),TK!$E$7=TH!F1025),"x","")</f>
        <v/>
      </c>
      <c r="AA1025" s="55" t="str">
        <f>IF(AND(B1025&lt;=NKC!$N$8,B1025&gt;=NKC!$M$8),"x","")</f>
        <v/>
      </c>
    </row>
    <row r="1026" spans="1:29" s="226" customFormat="1" ht="15.75" customHeight="1">
      <c r="A1026" s="219" t="str">
        <f>IF(B1026&lt;&gt;"",IF(AND(B1026&gt;=_TM1,B1026&lt;=_TM2,OR(TH!L1026="1111",TH!M1026="1111")),TH!D1026,""),"")</f>
        <v/>
      </c>
      <c r="B1026" s="36">
        <f t="shared" si="45"/>
        <v>3</v>
      </c>
      <c r="C1026" s="205">
        <f t="shared" si="44"/>
        <v>40995</v>
      </c>
      <c r="D1026" s="205"/>
      <c r="E1026" s="205">
        <v>40995</v>
      </c>
      <c r="F1026" s="206" t="s">
        <v>1228</v>
      </c>
      <c r="G1026" s="581" t="s">
        <v>1225</v>
      </c>
      <c r="H1026" s="207" t="s">
        <v>1207</v>
      </c>
      <c r="I1026" s="277">
        <v>103</v>
      </c>
      <c r="J1026" s="277">
        <v>9090</v>
      </c>
      <c r="K1026" s="698">
        <f t="shared" si="43"/>
        <v>936270</v>
      </c>
      <c r="L1026" s="208" t="s">
        <v>49</v>
      </c>
      <c r="M1026" s="208" t="s">
        <v>208</v>
      </c>
      <c r="N1026" s="55" t="str">
        <f>IF(AND('331-CT'!$E$7=TH!H1026,OR(L1026="331",M1026="331")),"x","")</f>
        <v/>
      </c>
      <c r="O1026" s="55" t="str">
        <f>IF(AND($B1026&gt;='111'!$N$11,$B1026&lt;='111'!$O$11,OR($L1026=$O$7,$M1026=$O$7)),"x","")</f>
        <v/>
      </c>
      <c r="P1026" s="55" t="str">
        <f>IF(AND($L1026=$O$7,$B1026&lt;'111'!$N$11),"x","")</f>
        <v>x</v>
      </c>
      <c r="Q1026" s="55" t="str">
        <f>IF(AND($M1026=$O$7,$B1026&lt;'111'!$N$11),"x","")</f>
        <v/>
      </c>
      <c r="R1026" s="55" t="str">
        <f>IF(ISERROR(FIND('112'!$M$9,G1026,1)),"",IF((AND(FIND('112'!$M$9,G1026,1)&gt;=1,$B1026&gt;='112'!$N$8,$B1026&lt;='112'!$O$8,OR($L1026='112'!$I$6,$M1026='112'!$I$6))),"x",""))</f>
        <v/>
      </c>
      <c r="S1026" s="55" t="str">
        <f>IF(ISERROR(FIND('112'!$M$9,G1026,1)),"",IF((AND(LEFT(G1026,2)=LEFT('112'!$M$9,2),B1026&lt;'112'!$N$8,$L1026='112'!$I$6)),"x",""))</f>
        <v/>
      </c>
      <c r="T1026" s="55" t="str">
        <f>IF(ISERROR(FIND('112'!$M$9,G1026,1)),"",IF((AND(RIGHT(G1026,2)=RIGHT('112'!$M$9,2),B1026&lt;'112'!$N$8,$M1026='112'!$I$6)),"x",""))</f>
        <v/>
      </c>
      <c r="U1026" s="55" t="str">
        <f>IF(AND('3411-CT'!$F$9=H1026,OR(LEFT(L1026,3)=$U$7,LEFT(M1026,3)=$U$7)),"x","")</f>
        <v/>
      </c>
      <c r="V1026" s="55" t="str">
        <f>IF(OR(TH!L1026=TH!$V$7,M1026=TH!$V$7),"x","")</f>
        <v/>
      </c>
      <c r="W1026" s="55" t="str">
        <f>IF(AND(OR(L1026="131",M1026="131"),H1026='131-CT'!$E$7),"x","")</f>
        <v/>
      </c>
      <c r="X1026" s="55" t="str">
        <f>IF(AND(B1026&gt;='IN-NX'!$P$3,B1026&lt;='IN-NX'!$Q$3,'IN-NX'!$D$7=D1026,OR(LEFT(TH!L1026,2)="15",LEFT(TH!M1026,2)="15")),"x","")</f>
        <v/>
      </c>
      <c r="Y1026" s="55" t="str">
        <f>IF(AND(OR(LEFT(TH!L1026,2)="15",LEFT(TH!M1026,2)="15"),'152-CT'!$J$8=TH!F1026),"x","")</f>
        <v/>
      </c>
      <c r="Z1026" s="55" t="str">
        <f>IF(AND(OR(LEFT(TH!L1026,2)="15",LEFT(TH!M1026,2)="15"),TK!$E$7=TH!F1026),"x","")</f>
        <v/>
      </c>
      <c r="AA1026" s="55" t="str">
        <f>IF(AND(B1026&lt;=NKC!$N$8,B1026&gt;=NKC!$M$8),"x","")</f>
        <v/>
      </c>
    </row>
    <row r="1027" spans="1:29" s="226" customFormat="1" ht="15.75" customHeight="1">
      <c r="A1027" s="219" t="str">
        <f>IF(B1027&lt;&gt;"",IF(AND(B1027&gt;=_TM1,B1027&lt;=_TM2,OR(TH!L1027="1111",TH!M1027="1111")),TH!D1027,""),"")</f>
        <v/>
      </c>
      <c r="B1027" s="36">
        <f t="shared" si="45"/>
        <v>3</v>
      </c>
      <c r="C1027" s="205">
        <f t="shared" si="44"/>
        <v>40995</v>
      </c>
      <c r="D1027" s="205"/>
      <c r="E1027" s="205">
        <v>40995</v>
      </c>
      <c r="F1027" s="206" t="s">
        <v>1229</v>
      </c>
      <c r="G1027" s="581" t="s">
        <v>1225</v>
      </c>
      <c r="H1027" s="207" t="s">
        <v>1207</v>
      </c>
      <c r="I1027" s="277">
        <v>400</v>
      </c>
      <c r="J1027" s="277">
        <v>550</v>
      </c>
      <c r="K1027" s="698">
        <f t="shared" si="43"/>
        <v>220000</v>
      </c>
      <c r="L1027" s="208" t="s">
        <v>49</v>
      </c>
      <c r="M1027" s="208" t="s">
        <v>208</v>
      </c>
      <c r="N1027" s="55" t="str">
        <f>IF(AND('331-CT'!$E$7=TH!H1027,OR(L1027="331",M1027="331")),"x","")</f>
        <v/>
      </c>
      <c r="O1027" s="55" t="str">
        <f>IF(AND($B1027&gt;='111'!$N$11,$B1027&lt;='111'!$O$11,OR($L1027=$O$7,$M1027=$O$7)),"x","")</f>
        <v/>
      </c>
      <c r="P1027" s="55" t="str">
        <f>IF(AND($L1027=$O$7,$B1027&lt;'111'!$N$11),"x","")</f>
        <v>x</v>
      </c>
      <c r="Q1027" s="55" t="str">
        <f>IF(AND($M1027=$O$7,$B1027&lt;'111'!$N$11),"x","")</f>
        <v/>
      </c>
      <c r="R1027" s="55" t="str">
        <f>IF(ISERROR(FIND('112'!$M$9,G1027,1)),"",IF((AND(FIND('112'!$M$9,G1027,1)&gt;=1,$B1027&gt;='112'!$N$8,$B1027&lt;='112'!$O$8,OR($L1027='112'!$I$6,$M1027='112'!$I$6))),"x",""))</f>
        <v/>
      </c>
      <c r="S1027" s="55" t="str">
        <f>IF(ISERROR(FIND('112'!$M$9,G1027,1)),"",IF((AND(LEFT(G1027,2)=LEFT('112'!$M$9,2),B1027&lt;'112'!$N$8,$L1027='112'!$I$6)),"x",""))</f>
        <v/>
      </c>
      <c r="T1027" s="55" t="str">
        <f>IF(ISERROR(FIND('112'!$M$9,G1027,1)),"",IF((AND(RIGHT(G1027,2)=RIGHT('112'!$M$9,2),B1027&lt;'112'!$N$8,$M1027='112'!$I$6)),"x",""))</f>
        <v/>
      </c>
      <c r="U1027" s="55" t="str">
        <f>IF(AND('3411-CT'!$F$9=H1027,OR(LEFT(L1027,3)=$U$7,LEFT(M1027,3)=$U$7)),"x","")</f>
        <v/>
      </c>
      <c r="V1027" s="55" t="str">
        <f>IF(OR(TH!L1027=TH!$V$7,M1027=TH!$V$7),"x","")</f>
        <v/>
      </c>
      <c r="W1027" s="55" t="str">
        <f>IF(AND(OR(L1027="131",M1027="131"),H1027='131-CT'!$E$7),"x","")</f>
        <v/>
      </c>
      <c r="X1027" s="55" t="str">
        <f>IF(AND(B1027&gt;='IN-NX'!$P$3,B1027&lt;='IN-NX'!$Q$3,'IN-NX'!$D$7=D1027,OR(LEFT(TH!L1027,2)="15",LEFT(TH!M1027,2)="15")),"x","")</f>
        <v/>
      </c>
      <c r="Y1027" s="55" t="str">
        <f>IF(AND(OR(LEFT(TH!L1027,2)="15",LEFT(TH!M1027,2)="15"),'152-CT'!$J$8=TH!F1027),"x","")</f>
        <v/>
      </c>
      <c r="Z1027" s="55" t="str">
        <f>IF(AND(OR(LEFT(TH!L1027,2)="15",LEFT(TH!M1027,2)="15"),TK!$E$7=TH!F1027),"x","")</f>
        <v/>
      </c>
      <c r="AA1027" s="55" t="str">
        <f>IF(AND(B1027&lt;=NKC!$N$8,B1027&gt;=NKC!$M$8),"x","")</f>
        <v/>
      </c>
    </row>
    <row r="1028" spans="1:29" s="226" customFormat="1" ht="15.75" customHeight="1">
      <c r="A1028" s="219" t="str">
        <f>IF(B1028&lt;&gt;"",IF(AND(B1028&gt;=_TM1,B1028&lt;=_TM2,OR(TH!L1028="1111",TH!M1028="1111")),TH!D1028,""),"")</f>
        <v/>
      </c>
      <c r="B1028" s="36">
        <f t="shared" si="45"/>
        <v>3</v>
      </c>
      <c r="C1028" s="205">
        <f t="shared" si="44"/>
        <v>40995</v>
      </c>
      <c r="D1028" s="205"/>
      <c r="E1028" s="205">
        <v>40995</v>
      </c>
      <c r="F1028" s="206" t="s">
        <v>1185</v>
      </c>
      <c r="G1028" s="581" t="s">
        <v>1225</v>
      </c>
      <c r="H1028" s="207" t="s">
        <v>1207</v>
      </c>
      <c r="I1028" s="278"/>
      <c r="J1028" s="278"/>
      <c r="K1028" s="698">
        <v>1313957</v>
      </c>
      <c r="L1028" s="208" t="s">
        <v>49</v>
      </c>
      <c r="M1028" s="208" t="s">
        <v>549</v>
      </c>
      <c r="N1028" s="55" t="str">
        <f>IF(AND('331-CT'!$E$7=TH!H1028,OR(L1028="331",M1028="331")),"x","")</f>
        <v/>
      </c>
      <c r="O1028" s="55" t="str">
        <f>IF(AND($B1028&gt;='111'!$N$11,$B1028&lt;='111'!$O$11,OR($L1028=$O$7,$M1028=$O$7)),"x","")</f>
        <v/>
      </c>
      <c r="P1028" s="55" t="str">
        <f>IF(AND($L1028=$O$7,$B1028&lt;'111'!$N$11),"x","")</f>
        <v>x</v>
      </c>
      <c r="Q1028" s="55" t="str">
        <f>IF(AND($M1028=$O$7,$B1028&lt;'111'!$N$11),"x","")</f>
        <v/>
      </c>
      <c r="R1028" s="55" t="str">
        <f>IF(ISERROR(FIND('112'!$M$9,G1028,1)),"",IF((AND(FIND('112'!$M$9,G1028,1)&gt;=1,$B1028&gt;='112'!$N$8,$B1028&lt;='112'!$O$8,OR($L1028='112'!$I$6,$M1028='112'!$I$6))),"x",""))</f>
        <v/>
      </c>
      <c r="S1028" s="55" t="str">
        <f>IF(ISERROR(FIND('112'!$M$9,G1028,1)),"",IF((AND(LEFT(G1028,2)=LEFT('112'!$M$9,2),B1028&lt;'112'!$N$8,$L1028='112'!$I$6)),"x",""))</f>
        <v/>
      </c>
      <c r="T1028" s="55" t="str">
        <f>IF(ISERROR(FIND('112'!$M$9,G1028,1)),"",IF((AND(RIGHT(G1028,2)=RIGHT('112'!$M$9,2),B1028&lt;'112'!$N$8,$M1028='112'!$I$6)),"x",""))</f>
        <v/>
      </c>
      <c r="U1028" s="55" t="str">
        <f>IF(AND('3411-CT'!$F$9=H1028,OR(LEFT(L1028,3)=$U$7,LEFT(M1028,3)=$U$7)),"x","")</f>
        <v/>
      </c>
      <c r="V1028" s="55" t="str">
        <f>IF(OR(TH!L1028=TH!$V$7,M1028=TH!$V$7),"x","")</f>
        <v/>
      </c>
      <c r="W1028" s="55" t="str">
        <f>IF(AND(OR(L1028="131",M1028="131"),H1028='131-CT'!$E$7),"x","")</f>
        <v/>
      </c>
      <c r="X1028" s="55" t="str">
        <f>IF(AND(B1028&gt;='IN-NX'!$P$3,B1028&lt;='IN-NX'!$Q$3,'IN-NX'!$D$7=D1028,OR(LEFT(TH!L1028,2)="15",LEFT(TH!M1028,2)="15")),"x","")</f>
        <v/>
      </c>
      <c r="Y1028" s="55" t="str">
        <f>IF(AND(OR(LEFT(TH!L1028,2)="15",LEFT(TH!M1028,2)="15"),'152-CT'!$J$8=TH!F1028),"x","")</f>
        <v/>
      </c>
      <c r="Z1028" s="55" t="str">
        <f>IF(AND(OR(LEFT(TH!L1028,2)="15",LEFT(TH!M1028,2)="15"),TK!$E$7=TH!F1028),"x","")</f>
        <v/>
      </c>
      <c r="AA1028" s="55" t="str">
        <f>IF(AND(B1028&lt;=NKC!$N$8,B1028&gt;=NKC!$M$8),"x","")</f>
        <v/>
      </c>
    </row>
    <row r="1029" spans="1:29" s="226" customFormat="1" ht="15.75" customHeight="1">
      <c r="A1029" s="219" t="str">
        <f>IF(B1029&lt;&gt;"",IF(AND(B1029&gt;=_TM1,B1029&lt;=_TM2,OR(TH!L1029="1111",TH!M1029="1111")),TH!D1029,""),"")</f>
        <v/>
      </c>
      <c r="B1029" s="36">
        <f t="shared" si="45"/>
        <v>3</v>
      </c>
      <c r="C1029" s="205">
        <f t="shared" si="44"/>
        <v>40996</v>
      </c>
      <c r="D1029" s="205"/>
      <c r="E1029" s="205">
        <v>40996</v>
      </c>
      <c r="F1029" s="206" t="s">
        <v>1230</v>
      </c>
      <c r="G1029" s="581" t="s">
        <v>1231</v>
      </c>
      <c r="H1029" s="207" t="s">
        <v>1256</v>
      </c>
      <c r="I1029" s="277">
        <v>1000</v>
      </c>
      <c r="J1029" s="277">
        <v>8000</v>
      </c>
      <c r="K1029" s="698">
        <f t="shared" si="43"/>
        <v>8000000</v>
      </c>
      <c r="L1029" s="208" t="s">
        <v>49</v>
      </c>
      <c r="M1029" s="208" t="s">
        <v>208</v>
      </c>
      <c r="N1029" s="55" t="str">
        <f>IF(AND('331-CT'!$E$7=TH!H1029,OR(L1029="331",M1029="331")),"x","")</f>
        <v/>
      </c>
      <c r="O1029" s="55" t="str">
        <f>IF(AND($B1029&gt;='111'!$N$11,$B1029&lt;='111'!$O$11,OR($L1029=$O$7,$M1029=$O$7)),"x","")</f>
        <v/>
      </c>
      <c r="P1029" s="55" t="str">
        <f>IF(AND($L1029=$O$7,$B1029&lt;'111'!$N$11),"x","")</f>
        <v>x</v>
      </c>
      <c r="Q1029" s="55" t="str">
        <f>IF(AND($M1029=$O$7,$B1029&lt;'111'!$N$11),"x","")</f>
        <v/>
      </c>
      <c r="R1029" s="55" t="str">
        <f>IF(ISERROR(FIND('112'!$M$9,G1029,1)),"",IF((AND(FIND('112'!$M$9,G1029,1)&gt;=1,$B1029&gt;='112'!$N$8,$B1029&lt;='112'!$O$8,OR($L1029='112'!$I$6,$M1029='112'!$I$6))),"x",""))</f>
        <v/>
      </c>
      <c r="S1029" s="55" t="str">
        <f>IF(ISERROR(FIND('112'!$M$9,G1029,1)),"",IF((AND(LEFT(G1029,2)=LEFT('112'!$M$9,2),B1029&lt;'112'!$N$8,$L1029='112'!$I$6)),"x",""))</f>
        <v/>
      </c>
      <c r="T1029" s="55" t="str">
        <f>IF(ISERROR(FIND('112'!$M$9,G1029,1)),"",IF((AND(RIGHT(G1029,2)=RIGHT('112'!$M$9,2),B1029&lt;'112'!$N$8,$M1029='112'!$I$6)),"x",""))</f>
        <v/>
      </c>
      <c r="U1029" s="55" t="str">
        <f>IF(AND('3411-CT'!$F$9=H1029,OR(LEFT(L1029,3)=$U$7,LEFT(M1029,3)=$U$7)),"x","")</f>
        <v/>
      </c>
      <c r="V1029" s="55" t="str">
        <f>IF(OR(TH!L1029=TH!$V$7,M1029=TH!$V$7),"x","")</f>
        <v/>
      </c>
      <c r="W1029" s="55" t="str">
        <f>IF(AND(OR(L1029="131",M1029="131"),H1029='131-CT'!$E$7),"x","")</f>
        <v/>
      </c>
      <c r="X1029" s="55" t="str">
        <f>IF(AND(B1029&gt;='IN-NX'!$P$3,B1029&lt;='IN-NX'!$Q$3,'IN-NX'!$D$7=D1029,OR(LEFT(TH!L1029,2)="15",LEFT(TH!M1029,2)="15")),"x","")</f>
        <v/>
      </c>
      <c r="Y1029" s="55" t="str">
        <f>IF(AND(OR(LEFT(TH!L1029,2)="15",LEFT(TH!M1029,2)="15"),'152-CT'!$J$8=TH!F1029),"x","")</f>
        <v/>
      </c>
      <c r="Z1029" s="55" t="str">
        <f>IF(AND(OR(LEFT(TH!L1029,2)="15",LEFT(TH!M1029,2)="15"),TK!$E$7=TH!F1029),"x","")</f>
        <v/>
      </c>
      <c r="AA1029" s="55" t="str">
        <f>IF(AND(B1029&lt;=NKC!$N$8,B1029&gt;=NKC!$M$8),"x","")</f>
        <v/>
      </c>
    </row>
    <row r="1030" spans="1:29" s="226" customFormat="1" ht="15.75" customHeight="1">
      <c r="A1030" s="219" t="str">
        <f>IF(B1030&lt;&gt;"",IF(AND(B1030&gt;=_TM1,B1030&lt;=_TM2,OR(TH!L1030="1111",TH!M1030="1111")),TH!D1030,""),"")</f>
        <v/>
      </c>
      <c r="B1030" s="36">
        <f t="shared" si="45"/>
        <v>3</v>
      </c>
      <c r="C1030" s="205">
        <f t="shared" si="44"/>
        <v>40996</v>
      </c>
      <c r="D1030" s="205"/>
      <c r="E1030" s="205">
        <v>40996</v>
      </c>
      <c r="F1030" s="206" t="s">
        <v>1185</v>
      </c>
      <c r="G1030" s="581" t="s">
        <v>1231</v>
      </c>
      <c r="H1030" s="207" t="s">
        <v>1256</v>
      </c>
      <c r="I1030" s="277"/>
      <c r="J1030" s="277"/>
      <c r="K1030" s="698">
        <v>800000</v>
      </c>
      <c r="L1030" s="208" t="s">
        <v>49</v>
      </c>
      <c r="M1030" s="208" t="s">
        <v>549</v>
      </c>
      <c r="N1030" s="55" t="str">
        <f>IF(AND('331-CT'!$E$7=TH!H1030,OR(L1030="331",M1030="331")),"x","")</f>
        <v/>
      </c>
      <c r="O1030" s="55" t="str">
        <f>IF(AND($B1030&gt;='111'!$N$11,$B1030&lt;='111'!$O$11,OR($L1030=$O$7,$M1030=$O$7)),"x","")</f>
        <v/>
      </c>
      <c r="P1030" s="55" t="str">
        <f>IF(AND($L1030=$O$7,$B1030&lt;'111'!$N$11),"x","")</f>
        <v>x</v>
      </c>
      <c r="Q1030" s="55" t="str">
        <f>IF(AND($M1030=$O$7,$B1030&lt;'111'!$N$11),"x","")</f>
        <v/>
      </c>
      <c r="R1030" s="55" t="str">
        <f>IF(ISERROR(FIND('112'!$M$9,G1030,1)),"",IF((AND(FIND('112'!$M$9,G1030,1)&gt;=1,$B1030&gt;='112'!$N$8,$B1030&lt;='112'!$O$8,OR($L1030='112'!$I$6,$M1030='112'!$I$6))),"x",""))</f>
        <v/>
      </c>
      <c r="S1030" s="55" t="str">
        <f>IF(ISERROR(FIND('112'!$M$9,G1030,1)),"",IF((AND(LEFT(G1030,2)=LEFT('112'!$M$9,2),B1030&lt;'112'!$N$8,$L1030='112'!$I$6)),"x",""))</f>
        <v/>
      </c>
      <c r="T1030" s="55" t="str">
        <f>IF(ISERROR(FIND('112'!$M$9,G1030,1)),"",IF((AND(RIGHT(G1030,2)=RIGHT('112'!$M$9,2),B1030&lt;'112'!$N$8,$M1030='112'!$I$6)),"x",""))</f>
        <v/>
      </c>
      <c r="U1030" s="55" t="str">
        <f>IF(AND('3411-CT'!$F$9=H1030,OR(LEFT(L1030,3)=$U$7,LEFT(M1030,3)=$U$7)),"x","")</f>
        <v/>
      </c>
      <c r="V1030" s="55" t="str">
        <f>IF(OR(TH!L1030=TH!$V$7,M1030=TH!$V$7),"x","")</f>
        <v/>
      </c>
      <c r="W1030" s="55" t="str">
        <f>IF(AND(OR(L1030="131",M1030="131"),H1030='131-CT'!$E$7),"x","")</f>
        <v/>
      </c>
      <c r="X1030" s="55" t="str">
        <f>IF(AND(B1030&gt;='IN-NX'!$P$3,B1030&lt;='IN-NX'!$Q$3,'IN-NX'!$D$7=D1030,OR(LEFT(TH!L1030,2)="15",LEFT(TH!M1030,2)="15")),"x","")</f>
        <v/>
      </c>
      <c r="Y1030" s="55" t="str">
        <f>IF(AND(OR(LEFT(TH!L1030,2)="15",LEFT(TH!M1030,2)="15"),'152-CT'!$J$8=TH!F1030),"x","")</f>
        <v/>
      </c>
      <c r="Z1030" s="55" t="str">
        <f>IF(AND(OR(LEFT(TH!L1030,2)="15",LEFT(TH!M1030,2)="15"),TK!$E$7=TH!F1030),"x","")</f>
        <v/>
      </c>
      <c r="AA1030" s="55" t="str">
        <f>IF(AND(B1030&lt;=NKC!$N$8,B1030&gt;=NKC!$M$8),"x","")</f>
        <v/>
      </c>
    </row>
    <row r="1031" spans="1:29" ht="15.75" customHeight="1">
      <c r="A1031" s="219" t="str">
        <f>IF(B1031&lt;&gt;"",IF(AND(B1031&gt;=_TM1,B1031&lt;=_TM2,OR(TH!L1031="1111",TH!M1031="1111")),TH!D1031,""),"")</f>
        <v/>
      </c>
      <c r="B1031" s="36">
        <f t="shared" si="45"/>
        <v>3</v>
      </c>
      <c r="C1031" s="205">
        <f t="shared" si="44"/>
        <v>40998</v>
      </c>
      <c r="D1031" s="205"/>
      <c r="E1031" s="205">
        <v>40998</v>
      </c>
      <c r="F1031" s="206" t="s">
        <v>1232</v>
      </c>
      <c r="G1031" s="581" t="s">
        <v>1233</v>
      </c>
      <c r="H1031" s="225" t="s">
        <v>1234</v>
      </c>
      <c r="I1031" s="278">
        <v>10</v>
      </c>
      <c r="J1031" s="278">
        <v>14850</v>
      </c>
      <c r="K1031" s="698">
        <f t="shared" si="43"/>
        <v>148500</v>
      </c>
      <c r="L1031" s="208" t="s">
        <v>49</v>
      </c>
      <c r="M1031" s="208" t="s">
        <v>208</v>
      </c>
      <c r="N1031" s="55" t="str">
        <f>IF(AND('331-CT'!$E$7=TH!H1031,OR(L1031="331",M1031="331")),"x","")</f>
        <v/>
      </c>
      <c r="O1031" s="55" t="str">
        <f>IF(AND($B1031&gt;='111'!$N$11,$B1031&lt;='111'!$O$11,OR($L1031=$O$7,$M1031=$O$7)),"x","")</f>
        <v/>
      </c>
      <c r="P1031" s="55" t="str">
        <f>IF(AND($L1031=$O$7,$B1031&lt;'111'!$N$11),"x","")</f>
        <v>x</v>
      </c>
      <c r="Q1031" s="55" t="str">
        <f>IF(AND($M1031=$O$7,$B1031&lt;'111'!$N$11),"x","")</f>
        <v/>
      </c>
      <c r="R1031" s="55" t="str">
        <f>IF(ISERROR(FIND('112'!$M$9,G1031,1)),"",IF((AND(FIND('112'!$M$9,G1031,1)&gt;=1,$B1031&gt;='112'!$N$8,$B1031&lt;='112'!$O$8,OR($L1031='112'!$I$6,$M1031='112'!$I$6))),"x",""))</f>
        <v/>
      </c>
      <c r="S1031" s="55" t="str">
        <f>IF(ISERROR(FIND('112'!$M$9,G1031,1)),"",IF((AND(LEFT(G1031,2)=LEFT('112'!$M$9,2),B1031&lt;'112'!$N$8,$L1031='112'!$I$6)),"x",""))</f>
        <v/>
      </c>
      <c r="T1031" s="55" t="str">
        <f>IF(ISERROR(FIND('112'!$M$9,G1031,1)),"",IF((AND(RIGHT(G1031,2)=RIGHT('112'!$M$9,2),B1031&lt;'112'!$N$8,$M1031='112'!$I$6)),"x",""))</f>
        <v/>
      </c>
      <c r="U1031" s="55" t="str">
        <f>IF(AND('3411-CT'!$F$9=H1031,OR(LEFT(L1031,3)=$U$7,LEFT(M1031,3)=$U$7)),"x","")</f>
        <v/>
      </c>
      <c r="V1031" s="55" t="str">
        <f>IF(OR(TH!L1031=TH!$V$7,M1031=TH!$V$7),"x","")</f>
        <v/>
      </c>
      <c r="W1031" s="55" t="str">
        <f>IF(AND(OR(L1031="131",M1031="131"),H1031='131-CT'!$E$7),"x","")</f>
        <v/>
      </c>
      <c r="X1031" s="55" t="str">
        <f>IF(AND(B1031&gt;='IN-NX'!$P$3,B1031&lt;='IN-NX'!$Q$3,'IN-NX'!$D$7=D1031,OR(LEFT(TH!L1031,2)="15",LEFT(TH!M1031,2)="15")),"x","")</f>
        <v/>
      </c>
      <c r="Y1031" s="55" t="str">
        <f>IF(AND(OR(LEFT(TH!L1031,2)="15",LEFT(TH!M1031,2)="15"),'152-CT'!$J$8=TH!F1031),"x","")</f>
        <v/>
      </c>
      <c r="Z1031" s="55" t="str">
        <f>IF(AND(OR(LEFT(TH!L1031,2)="15",LEFT(TH!M1031,2)="15"),TK!$E$7=TH!F1031),"x","")</f>
        <v/>
      </c>
      <c r="AA1031" s="55" t="str">
        <f>IF(AND(B1031&lt;=NKC!$N$8,B1031&gt;=NKC!$M$8),"x","")</f>
        <v/>
      </c>
    </row>
    <row r="1032" spans="1:29" ht="15.75" customHeight="1">
      <c r="A1032" s="219" t="str">
        <f>IF(B1032&lt;&gt;"",IF(AND(B1032&gt;=_TM1,B1032&lt;=_TM2,OR(TH!L1032="1111",TH!M1032="1111")),TH!D1032,""),"")</f>
        <v/>
      </c>
      <c r="B1032" s="36">
        <f t="shared" si="45"/>
        <v>3</v>
      </c>
      <c r="C1032" s="205">
        <f t="shared" si="44"/>
        <v>40998</v>
      </c>
      <c r="D1032" s="205"/>
      <c r="E1032" s="205">
        <v>40998</v>
      </c>
      <c r="F1032" s="206" t="s">
        <v>1235</v>
      </c>
      <c r="G1032" s="581" t="s">
        <v>1233</v>
      </c>
      <c r="H1032" s="225" t="s">
        <v>1234</v>
      </c>
      <c r="I1032" s="277">
        <v>12</v>
      </c>
      <c r="J1032" s="278">
        <v>14850</v>
      </c>
      <c r="K1032" s="698">
        <f t="shared" si="43"/>
        <v>178200</v>
      </c>
      <c r="L1032" s="208" t="s">
        <v>49</v>
      </c>
      <c r="M1032" s="208" t="s">
        <v>208</v>
      </c>
      <c r="N1032" s="55" t="str">
        <f>IF(AND('331-CT'!$E$7=TH!H1032,OR(L1032="331",M1032="331")),"x","")</f>
        <v/>
      </c>
      <c r="O1032" s="55" t="str">
        <f>IF(AND($B1032&gt;='111'!$N$11,$B1032&lt;='111'!$O$11,OR($L1032=$O$7,$M1032=$O$7)),"x","")</f>
        <v/>
      </c>
      <c r="P1032" s="55" t="str">
        <f>IF(AND($L1032=$O$7,$B1032&lt;'111'!$N$11),"x","")</f>
        <v>x</v>
      </c>
      <c r="Q1032" s="55" t="str">
        <f>IF(AND($M1032=$O$7,$B1032&lt;'111'!$N$11),"x","")</f>
        <v/>
      </c>
      <c r="R1032" s="55" t="str">
        <f>IF(ISERROR(FIND('112'!$M$9,G1032,1)),"",IF((AND(FIND('112'!$M$9,G1032,1)&gt;=1,$B1032&gt;='112'!$N$8,$B1032&lt;='112'!$O$8,OR($L1032='112'!$I$6,$M1032='112'!$I$6))),"x",""))</f>
        <v/>
      </c>
      <c r="S1032" s="55" t="str">
        <f>IF(ISERROR(FIND('112'!$M$9,G1032,1)),"",IF((AND(LEFT(G1032,2)=LEFT('112'!$M$9,2),B1032&lt;'112'!$N$8,$L1032='112'!$I$6)),"x",""))</f>
        <v/>
      </c>
      <c r="T1032" s="55" t="str">
        <f>IF(ISERROR(FIND('112'!$M$9,G1032,1)),"",IF((AND(RIGHT(G1032,2)=RIGHT('112'!$M$9,2),B1032&lt;'112'!$N$8,$M1032='112'!$I$6)),"x",""))</f>
        <v/>
      </c>
      <c r="U1032" s="55" t="str">
        <f>IF(AND('3411-CT'!$F$9=H1032,OR(LEFT(L1032,3)=$U$7,LEFT(M1032,3)=$U$7)),"x","")</f>
        <v/>
      </c>
      <c r="V1032" s="55" t="str">
        <f>IF(OR(TH!L1032=TH!$V$7,M1032=TH!$V$7),"x","")</f>
        <v/>
      </c>
      <c r="W1032" s="55" t="str">
        <f>IF(AND(OR(L1032="131",M1032="131"),H1032='131-CT'!$E$7),"x","")</f>
        <v/>
      </c>
      <c r="X1032" s="55" t="str">
        <f>IF(AND(B1032&gt;='IN-NX'!$P$3,B1032&lt;='IN-NX'!$Q$3,'IN-NX'!$D$7=D1032,OR(LEFT(TH!L1032,2)="15",LEFT(TH!M1032,2)="15")),"x","")</f>
        <v/>
      </c>
      <c r="Y1032" s="55" t="str">
        <f>IF(AND(OR(LEFT(TH!L1032,2)="15",LEFT(TH!M1032,2)="15"),'152-CT'!$J$8=TH!F1032),"x","")</f>
        <v/>
      </c>
      <c r="Z1032" s="55" t="str">
        <f>IF(AND(OR(LEFT(TH!L1032,2)="15",LEFT(TH!M1032,2)="15"),TK!$E$7=TH!F1032),"x","")</f>
        <v/>
      </c>
      <c r="AA1032" s="55" t="str">
        <f>IF(AND(B1032&lt;=NKC!$N$8,B1032&gt;=NKC!$M$8),"x","")</f>
        <v/>
      </c>
    </row>
    <row r="1033" spans="1:29" ht="15.75" customHeight="1">
      <c r="A1033" s="219" t="str">
        <f>IF(B1033&lt;&gt;"",IF(AND(B1033&gt;=_TM1,B1033&lt;=_TM2,OR(TH!L1033="1111",TH!M1033="1111")),TH!D1033,""),"")</f>
        <v/>
      </c>
      <c r="B1033" s="36">
        <f t="shared" si="45"/>
        <v>3</v>
      </c>
      <c r="C1033" s="205">
        <f t="shared" si="44"/>
        <v>40998</v>
      </c>
      <c r="D1033" s="205"/>
      <c r="E1033" s="205">
        <v>40998</v>
      </c>
      <c r="F1033" s="206" t="s">
        <v>1236</v>
      </c>
      <c r="G1033" s="581" t="s">
        <v>1233</v>
      </c>
      <c r="H1033" s="225" t="s">
        <v>1234</v>
      </c>
      <c r="I1033" s="277">
        <v>10</v>
      </c>
      <c r="J1033" s="278">
        <v>14850</v>
      </c>
      <c r="K1033" s="698">
        <f t="shared" si="43"/>
        <v>148500</v>
      </c>
      <c r="L1033" s="208" t="s">
        <v>49</v>
      </c>
      <c r="M1033" s="208" t="s">
        <v>208</v>
      </c>
      <c r="N1033" s="55" t="str">
        <f>IF(AND('331-CT'!$E$7=TH!H1033,OR(L1033="331",M1033="331")),"x","")</f>
        <v/>
      </c>
      <c r="O1033" s="55" t="str">
        <f>IF(AND($B1033&gt;='111'!$N$11,$B1033&lt;='111'!$O$11,OR($L1033=$O$7,$M1033=$O$7)),"x","")</f>
        <v/>
      </c>
      <c r="P1033" s="55" t="str">
        <f>IF(AND($L1033=$O$7,$B1033&lt;'111'!$N$11),"x","")</f>
        <v>x</v>
      </c>
      <c r="Q1033" s="55" t="str">
        <f>IF(AND($M1033=$O$7,$B1033&lt;'111'!$N$11),"x","")</f>
        <v/>
      </c>
      <c r="R1033" s="55" t="str">
        <f>IF(ISERROR(FIND('112'!$M$9,G1033,1)),"",IF((AND(FIND('112'!$M$9,G1033,1)&gt;=1,$B1033&gt;='112'!$N$8,$B1033&lt;='112'!$O$8,OR($L1033='112'!$I$6,$M1033='112'!$I$6))),"x",""))</f>
        <v/>
      </c>
      <c r="S1033" s="55" t="str">
        <f>IF(ISERROR(FIND('112'!$M$9,G1033,1)),"",IF((AND(LEFT(G1033,2)=LEFT('112'!$M$9,2),B1033&lt;'112'!$N$8,$L1033='112'!$I$6)),"x",""))</f>
        <v/>
      </c>
      <c r="T1033" s="55" t="str">
        <f>IF(ISERROR(FIND('112'!$M$9,G1033,1)),"",IF((AND(RIGHT(G1033,2)=RIGHT('112'!$M$9,2),B1033&lt;'112'!$N$8,$M1033='112'!$I$6)),"x",""))</f>
        <v/>
      </c>
      <c r="U1033" s="55" t="str">
        <f>IF(AND('3411-CT'!$F$9=H1033,OR(LEFT(L1033,3)=$U$7,LEFT(M1033,3)=$U$7)),"x","")</f>
        <v/>
      </c>
      <c r="V1033" s="55" t="str">
        <f>IF(OR(TH!L1033=TH!$V$7,M1033=TH!$V$7),"x","")</f>
        <v/>
      </c>
      <c r="W1033" s="55" t="str">
        <f>IF(AND(OR(L1033="131",M1033="131"),H1033='131-CT'!$E$7),"x","")</f>
        <v/>
      </c>
      <c r="X1033" s="55" t="str">
        <f>IF(AND(B1033&gt;='IN-NX'!$P$3,B1033&lt;='IN-NX'!$Q$3,'IN-NX'!$D$7=D1033,OR(LEFT(TH!L1033,2)="15",LEFT(TH!M1033,2)="15")),"x","")</f>
        <v/>
      </c>
      <c r="Y1033" s="55" t="str">
        <f>IF(AND(OR(LEFT(TH!L1033,2)="15",LEFT(TH!M1033,2)="15"),'152-CT'!$J$8=TH!F1033),"x","")</f>
        <v/>
      </c>
      <c r="Z1033" s="55" t="str">
        <f>IF(AND(OR(LEFT(TH!L1033,2)="15",LEFT(TH!M1033,2)="15"),TK!$E$7=TH!F1033),"x","")</f>
        <v/>
      </c>
      <c r="AA1033" s="55" t="str">
        <f>IF(AND(B1033&lt;=NKC!$N$8,B1033&gt;=NKC!$M$8),"x","")</f>
        <v/>
      </c>
    </row>
    <row r="1034" spans="1:29" ht="15.75" customHeight="1">
      <c r="A1034" s="219" t="str">
        <f>IF(B1034&lt;&gt;"",IF(AND(B1034&gt;=_TM1,B1034&lt;=_TM2,OR(TH!L1034="1111",TH!M1034="1111")),TH!D1034,""),"")</f>
        <v/>
      </c>
      <c r="B1034" s="36">
        <f t="shared" si="45"/>
        <v>3</v>
      </c>
      <c r="C1034" s="205">
        <f t="shared" si="44"/>
        <v>40998</v>
      </c>
      <c r="D1034" s="205"/>
      <c r="E1034" s="205">
        <v>40998</v>
      </c>
      <c r="F1034" s="206" t="s">
        <v>1237</v>
      </c>
      <c r="G1034" s="581" t="s">
        <v>1233</v>
      </c>
      <c r="H1034" s="225" t="s">
        <v>1234</v>
      </c>
      <c r="I1034" s="277">
        <v>22</v>
      </c>
      <c r="J1034" s="278">
        <v>14850</v>
      </c>
      <c r="K1034" s="698">
        <f t="shared" si="43"/>
        <v>326700</v>
      </c>
      <c r="L1034" s="208" t="s">
        <v>49</v>
      </c>
      <c r="M1034" s="208" t="s">
        <v>208</v>
      </c>
      <c r="N1034" s="55" t="str">
        <f>IF(AND('331-CT'!$E$7=TH!H1034,OR(L1034="331",M1034="331")),"x","")</f>
        <v/>
      </c>
      <c r="O1034" s="55" t="str">
        <f>IF(AND($B1034&gt;='111'!$N$11,$B1034&lt;='111'!$O$11,OR($L1034=$O$7,$M1034=$O$7)),"x","")</f>
        <v/>
      </c>
      <c r="P1034" s="55" t="str">
        <f>IF(AND($L1034=$O$7,$B1034&lt;'111'!$N$11),"x","")</f>
        <v>x</v>
      </c>
      <c r="Q1034" s="55" t="str">
        <f>IF(AND($M1034=$O$7,$B1034&lt;'111'!$N$11),"x","")</f>
        <v/>
      </c>
      <c r="R1034" s="55" t="str">
        <f>IF(ISERROR(FIND('112'!$M$9,G1034,1)),"",IF((AND(FIND('112'!$M$9,G1034,1)&gt;=1,$B1034&gt;='112'!$N$8,$B1034&lt;='112'!$O$8,OR($L1034='112'!$I$6,$M1034='112'!$I$6))),"x",""))</f>
        <v/>
      </c>
      <c r="S1034" s="55" t="str">
        <f>IF(ISERROR(FIND('112'!$M$9,G1034,1)),"",IF((AND(LEFT(G1034,2)=LEFT('112'!$M$9,2),B1034&lt;'112'!$N$8,$L1034='112'!$I$6)),"x",""))</f>
        <v/>
      </c>
      <c r="T1034" s="55" t="str">
        <f>IF(ISERROR(FIND('112'!$M$9,G1034,1)),"",IF((AND(RIGHT(G1034,2)=RIGHT('112'!$M$9,2),B1034&lt;'112'!$N$8,$M1034='112'!$I$6)),"x",""))</f>
        <v/>
      </c>
      <c r="U1034" s="55" t="str">
        <f>IF(AND('3411-CT'!$F$9=H1034,OR(LEFT(L1034,3)=$U$7,LEFT(M1034,3)=$U$7)),"x","")</f>
        <v/>
      </c>
      <c r="V1034" s="55" t="str">
        <f>IF(OR(TH!L1034=TH!$V$7,M1034=TH!$V$7),"x","")</f>
        <v/>
      </c>
      <c r="W1034" s="55" t="str">
        <f>IF(AND(OR(L1034="131",M1034="131"),H1034='131-CT'!$E$7),"x","")</f>
        <v/>
      </c>
      <c r="X1034" s="55" t="str">
        <f>IF(AND(B1034&gt;='IN-NX'!$P$3,B1034&lt;='IN-NX'!$Q$3,'IN-NX'!$D$7=D1034,OR(LEFT(TH!L1034,2)="15",LEFT(TH!M1034,2)="15")),"x","")</f>
        <v/>
      </c>
      <c r="Y1034" s="55" t="str">
        <f>IF(AND(OR(LEFT(TH!L1034,2)="15",LEFT(TH!M1034,2)="15"),'152-CT'!$J$8=TH!F1034),"x","")</f>
        <v/>
      </c>
      <c r="Z1034" s="55" t="str">
        <f>IF(AND(OR(LEFT(TH!L1034,2)="15",LEFT(TH!M1034,2)="15"),TK!$E$7=TH!F1034),"x","")</f>
        <v/>
      </c>
      <c r="AA1034" s="55" t="str">
        <f>IF(AND(B1034&lt;=NKC!$N$8,B1034&gt;=NKC!$M$8),"x","")</f>
        <v/>
      </c>
    </row>
    <row r="1035" spans="1:29" ht="15.75" customHeight="1">
      <c r="A1035" s="219" t="str">
        <f>IF(B1035&lt;&gt;"",IF(AND(B1035&gt;=_TM1,B1035&lt;=_TM2,OR(TH!L1035="1111",TH!M1035="1111")),TH!D1035,""),"")</f>
        <v/>
      </c>
      <c r="B1035" s="36">
        <f t="shared" si="45"/>
        <v>3</v>
      </c>
      <c r="C1035" s="205">
        <f t="shared" si="44"/>
        <v>40998</v>
      </c>
      <c r="D1035" s="205"/>
      <c r="E1035" s="205">
        <v>40998</v>
      </c>
      <c r="F1035" s="206" t="s">
        <v>1238</v>
      </c>
      <c r="G1035" s="581" t="s">
        <v>1233</v>
      </c>
      <c r="H1035" s="225" t="s">
        <v>1234</v>
      </c>
      <c r="I1035" s="277">
        <v>10</v>
      </c>
      <c r="J1035" s="278">
        <v>14850</v>
      </c>
      <c r="K1035" s="698">
        <f t="shared" si="43"/>
        <v>148500</v>
      </c>
      <c r="L1035" s="208" t="s">
        <v>49</v>
      </c>
      <c r="M1035" s="208" t="s">
        <v>208</v>
      </c>
      <c r="N1035" s="55" t="str">
        <f>IF(AND('331-CT'!$E$7=TH!H1035,OR(L1035="331",M1035="331")),"x","")</f>
        <v/>
      </c>
      <c r="O1035" s="55" t="str">
        <f>IF(AND($B1035&gt;='111'!$N$11,$B1035&lt;='111'!$O$11,OR($L1035=$O$7,$M1035=$O$7)),"x","")</f>
        <v/>
      </c>
      <c r="P1035" s="55" t="str">
        <f>IF(AND($L1035=$O$7,$B1035&lt;'111'!$N$11),"x","")</f>
        <v>x</v>
      </c>
      <c r="Q1035" s="55" t="str">
        <f>IF(AND($M1035=$O$7,$B1035&lt;'111'!$N$11),"x","")</f>
        <v/>
      </c>
      <c r="R1035" s="55" t="str">
        <f>IF(ISERROR(FIND('112'!$M$9,G1035,1)),"",IF((AND(FIND('112'!$M$9,G1035,1)&gt;=1,$B1035&gt;='112'!$N$8,$B1035&lt;='112'!$O$8,OR($L1035='112'!$I$6,$M1035='112'!$I$6))),"x",""))</f>
        <v/>
      </c>
      <c r="S1035" s="55" t="str">
        <f>IF(ISERROR(FIND('112'!$M$9,G1035,1)),"",IF((AND(LEFT(G1035,2)=LEFT('112'!$M$9,2),B1035&lt;'112'!$N$8,$L1035='112'!$I$6)),"x",""))</f>
        <v/>
      </c>
      <c r="T1035" s="55" t="str">
        <f>IF(ISERROR(FIND('112'!$M$9,G1035,1)),"",IF((AND(RIGHT(G1035,2)=RIGHT('112'!$M$9,2),B1035&lt;'112'!$N$8,$M1035='112'!$I$6)),"x",""))</f>
        <v/>
      </c>
      <c r="U1035" s="55" t="str">
        <f>IF(AND('3411-CT'!$F$9=H1035,OR(LEFT(L1035,3)=$U$7,LEFT(M1035,3)=$U$7)),"x","")</f>
        <v/>
      </c>
      <c r="V1035" s="55" t="str">
        <f>IF(OR(TH!L1035=TH!$V$7,M1035=TH!$V$7),"x","")</f>
        <v/>
      </c>
      <c r="W1035" s="55" t="str">
        <f>IF(AND(OR(L1035="131",M1035="131"),H1035='131-CT'!$E$7),"x","")</f>
        <v/>
      </c>
      <c r="X1035" s="55" t="str">
        <f>IF(AND(B1035&gt;='IN-NX'!$P$3,B1035&lt;='IN-NX'!$Q$3,'IN-NX'!$D$7=D1035,OR(LEFT(TH!L1035,2)="15",LEFT(TH!M1035,2)="15")),"x","")</f>
        <v/>
      </c>
      <c r="Y1035" s="55" t="str">
        <f>IF(AND(OR(LEFT(TH!L1035,2)="15",LEFT(TH!M1035,2)="15"),'152-CT'!$J$8=TH!F1035),"x","")</f>
        <v/>
      </c>
      <c r="Z1035" s="55" t="str">
        <f>IF(AND(OR(LEFT(TH!L1035,2)="15",LEFT(TH!M1035,2)="15"),TK!$E$7=TH!F1035),"x","")</f>
        <v/>
      </c>
      <c r="AA1035" s="55" t="str">
        <f>IF(AND(B1035&lt;=NKC!$N$8,B1035&gt;=NKC!$M$8),"x","")</f>
        <v/>
      </c>
    </row>
    <row r="1036" spans="1:29" ht="15.75" customHeight="1">
      <c r="A1036" s="219" t="str">
        <f>IF(B1036&lt;&gt;"",IF(AND(B1036&gt;=_TM1,B1036&lt;=_TM2,OR(TH!L1036="1111",TH!M1036="1111")),TH!D1036,""),"")</f>
        <v/>
      </c>
      <c r="B1036" s="36">
        <f t="shared" si="45"/>
        <v>3</v>
      </c>
      <c r="C1036" s="205">
        <f t="shared" si="44"/>
        <v>40998</v>
      </c>
      <c r="D1036" s="205"/>
      <c r="E1036" s="205">
        <v>40998</v>
      </c>
      <c r="F1036" s="206" t="s">
        <v>1185</v>
      </c>
      <c r="G1036" s="581" t="s">
        <v>1233</v>
      </c>
      <c r="H1036" s="225" t="s">
        <v>1234</v>
      </c>
      <c r="I1036" s="278"/>
      <c r="J1036" s="278"/>
      <c r="K1036" s="698">
        <v>95040</v>
      </c>
      <c r="L1036" s="208" t="s">
        <v>49</v>
      </c>
      <c r="M1036" s="208" t="s">
        <v>549</v>
      </c>
      <c r="N1036" s="55" t="str">
        <f>IF(AND('331-CT'!$E$7=TH!H1036,OR(L1036="331",M1036="331")),"x","")</f>
        <v/>
      </c>
      <c r="O1036" s="55" t="str">
        <f>IF(AND($B1036&gt;='111'!$N$11,$B1036&lt;='111'!$O$11,OR($L1036=$O$7,$M1036=$O$7)),"x","")</f>
        <v/>
      </c>
      <c r="P1036" s="55" t="str">
        <f>IF(AND($L1036=$O$7,$B1036&lt;'111'!$N$11),"x","")</f>
        <v>x</v>
      </c>
      <c r="Q1036" s="55" t="str">
        <f>IF(AND($M1036=$O$7,$B1036&lt;'111'!$N$11),"x","")</f>
        <v/>
      </c>
      <c r="R1036" s="55" t="str">
        <f>IF(ISERROR(FIND('112'!$M$9,G1036,1)),"",IF((AND(FIND('112'!$M$9,G1036,1)&gt;=1,$B1036&gt;='112'!$N$8,$B1036&lt;='112'!$O$8,OR($L1036='112'!$I$6,$M1036='112'!$I$6))),"x",""))</f>
        <v/>
      </c>
      <c r="S1036" s="55" t="str">
        <f>IF(ISERROR(FIND('112'!$M$9,G1036,1)),"",IF((AND(LEFT(G1036,2)=LEFT('112'!$M$9,2),B1036&lt;'112'!$N$8,$L1036='112'!$I$6)),"x",""))</f>
        <v/>
      </c>
      <c r="T1036" s="55" t="str">
        <f>IF(ISERROR(FIND('112'!$M$9,G1036,1)),"",IF((AND(RIGHT(G1036,2)=RIGHT('112'!$M$9,2),B1036&lt;'112'!$N$8,$M1036='112'!$I$6)),"x",""))</f>
        <v/>
      </c>
      <c r="U1036" s="55" t="str">
        <f>IF(AND('3411-CT'!$F$9=H1036,OR(LEFT(L1036,3)=$U$7,LEFT(M1036,3)=$U$7)),"x","")</f>
        <v/>
      </c>
      <c r="V1036" s="55" t="str">
        <f>IF(OR(TH!L1036=TH!$V$7,M1036=TH!$V$7),"x","")</f>
        <v/>
      </c>
      <c r="W1036" s="55" t="str">
        <f>IF(AND(OR(L1036="131",M1036="131"),H1036='131-CT'!$E$7),"x","")</f>
        <v/>
      </c>
      <c r="X1036" s="55" t="str">
        <f>IF(AND(B1036&gt;='IN-NX'!$P$3,B1036&lt;='IN-NX'!$Q$3,'IN-NX'!$D$7=D1036,OR(LEFT(TH!L1036,2)="15",LEFT(TH!M1036,2)="15")),"x","")</f>
        <v/>
      </c>
      <c r="Y1036" s="55" t="str">
        <f>IF(AND(OR(LEFT(TH!L1036,2)="15",LEFT(TH!M1036,2)="15"),'152-CT'!$J$8=TH!F1036),"x","")</f>
        <v/>
      </c>
      <c r="Z1036" s="55" t="str">
        <f>IF(AND(OR(LEFT(TH!L1036,2)="15",LEFT(TH!M1036,2)="15"),TK!$E$7=TH!F1036),"x","")</f>
        <v/>
      </c>
      <c r="AA1036" s="55" t="str">
        <f>IF(AND(B1036&lt;=NKC!$N$8,B1036&gt;=NKC!$M$8),"x","")</f>
        <v/>
      </c>
      <c r="AC1036" s="226"/>
    </row>
    <row r="1037" spans="1:29" ht="15.75" customHeight="1">
      <c r="A1037" s="219" t="str">
        <f>IF(B1037&lt;&gt;"",IF(AND(B1037&gt;=_TM1,B1037&lt;=_TM2,OR(TH!L1037="1111",TH!M1037="1111")),TH!D1037,""),"")</f>
        <v/>
      </c>
      <c r="B1037" s="36">
        <f t="shared" si="45"/>
        <v>3</v>
      </c>
      <c r="C1037" s="205">
        <f t="shared" si="44"/>
        <v>40998</v>
      </c>
      <c r="D1037" s="205"/>
      <c r="E1037" s="205">
        <v>40998</v>
      </c>
      <c r="F1037" s="206" t="s">
        <v>1239</v>
      </c>
      <c r="G1037" s="581" t="s">
        <v>1240</v>
      </c>
      <c r="H1037" s="207" t="s">
        <v>1207</v>
      </c>
      <c r="I1037" s="277">
        <v>253</v>
      </c>
      <c r="J1037" s="277">
        <v>5170</v>
      </c>
      <c r="K1037" s="698">
        <f t="shared" si="43"/>
        <v>1308010</v>
      </c>
      <c r="L1037" s="208" t="s">
        <v>49</v>
      </c>
      <c r="M1037" s="208" t="s">
        <v>208</v>
      </c>
      <c r="N1037" s="55" t="str">
        <f>IF(AND('331-CT'!$E$7=TH!H1037,OR(L1037="331",M1037="331")),"x","")</f>
        <v/>
      </c>
      <c r="O1037" s="55" t="str">
        <f>IF(AND($B1037&gt;='111'!$N$11,$B1037&lt;='111'!$O$11,OR($L1037=$O$7,$M1037=$O$7)),"x","")</f>
        <v/>
      </c>
      <c r="P1037" s="55" t="str">
        <f>IF(AND($L1037=$O$7,$B1037&lt;'111'!$N$11),"x","")</f>
        <v>x</v>
      </c>
      <c r="Q1037" s="55" t="str">
        <f>IF(AND($M1037=$O$7,$B1037&lt;'111'!$N$11),"x","")</f>
        <v/>
      </c>
      <c r="R1037" s="55" t="str">
        <f>IF(ISERROR(FIND('112'!$M$9,G1037,1)),"",IF((AND(FIND('112'!$M$9,G1037,1)&gt;=1,$B1037&gt;='112'!$N$8,$B1037&lt;='112'!$O$8,OR($L1037='112'!$I$6,$M1037='112'!$I$6))),"x",""))</f>
        <v/>
      </c>
      <c r="S1037" s="55" t="str">
        <f>IF(ISERROR(FIND('112'!$M$9,G1037,1)),"",IF((AND(LEFT(G1037,2)=LEFT('112'!$M$9,2),B1037&lt;'112'!$N$8,$L1037='112'!$I$6)),"x",""))</f>
        <v/>
      </c>
      <c r="T1037" s="55" t="str">
        <f>IF(ISERROR(FIND('112'!$M$9,G1037,1)),"",IF((AND(RIGHT(G1037,2)=RIGHT('112'!$M$9,2),B1037&lt;'112'!$N$8,$M1037='112'!$I$6)),"x",""))</f>
        <v/>
      </c>
      <c r="U1037" s="55" t="str">
        <f>IF(AND('3411-CT'!$F$9=H1037,OR(LEFT(L1037,3)=$U$7,LEFT(M1037,3)=$U$7)),"x","")</f>
        <v/>
      </c>
      <c r="V1037" s="55" t="str">
        <f>IF(OR(TH!L1037=TH!$V$7,M1037=TH!$V$7),"x","")</f>
        <v/>
      </c>
      <c r="W1037" s="55" t="str">
        <f>IF(AND(OR(L1037="131",M1037="131"),H1037='131-CT'!$E$7),"x","")</f>
        <v/>
      </c>
      <c r="X1037" s="55" t="str">
        <f>IF(AND(B1037&gt;='IN-NX'!$P$3,B1037&lt;='IN-NX'!$Q$3,'IN-NX'!$D$7=D1037,OR(LEFT(TH!L1037,2)="15",LEFT(TH!M1037,2)="15")),"x","")</f>
        <v/>
      </c>
      <c r="Y1037" s="55" t="str">
        <f>IF(AND(OR(LEFT(TH!L1037,2)="15",LEFT(TH!M1037,2)="15"),'152-CT'!$J$8=TH!F1037),"x","")</f>
        <v/>
      </c>
      <c r="Z1037" s="55" t="str">
        <f>IF(AND(OR(LEFT(TH!L1037,2)="15",LEFT(TH!M1037,2)="15"),TK!$E$7=TH!F1037),"x","")</f>
        <v/>
      </c>
      <c r="AA1037" s="55" t="str">
        <f>IF(AND(B1037&lt;=NKC!$N$8,B1037&gt;=NKC!$M$8),"x","")</f>
        <v/>
      </c>
    </row>
    <row r="1038" spans="1:29" ht="15.75" customHeight="1">
      <c r="A1038" s="219" t="str">
        <f>IF(B1038&lt;&gt;"",IF(AND(B1038&gt;=_TM1,B1038&lt;=_TM2,OR(TH!L1038="1111",TH!M1038="1111")),TH!D1038,""),"")</f>
        <v/>
      </c>
      <c r="B1038" s="36">
        <f t="shared" si="45"/>
        <v>3</v>
      </c>
      <c r="C1038" s="205">
        <f t="shared" si="44"/>
        <v>40998</v>
      </c>
      <c r="D1038" s="205"/>
      <c r="E1038" s="205">
        <v>40998</v>
      </c>
      <c r="F1038" s="206" t="s">
        <v>1241</v>
      </c>
      <c r="G1038" s="581" t="s">
        <v>1240</v>
      </c>
      <c r="H1038" s="207" t="s">
        <v>1207</v>
      </c>
      <c r="I1038" s="277">
        <v>204</v>
      </c>
      <c r="J1038" s="277">
        <v>7268</v>
      </c>
      <c r="K1038" s="698">
        <f t="shared" si="43"/>
        <v>1482672</v>
      </c>
      <c r="L1038" s="208" t="s">
        <v>49</v>
      </c>
      <c r="M1038" s="208" t="s">
        <v>208</v>
      </c>
      <c r="N1038" s="55" t="str">
        <f>IF(AND('331-CT'!$E$7=TH!H1038,OR(L1038="331",M1038="331")),"x","")</f>
        <v/>
      </c>
      <c r="O1038" s="55" t="str">
        <f>IF(AND($B1038&gt;='111'!$N$11,$B1038&lt;='111'!$O$11,OR($L1038=$O$7,$M1038=$O$7)),"x","")</f>
        <v/>
      </c>
      <c r="P1038" s="55" t="str">
        <f>IF(AND($L1038=$O$7,$B1038&lt;'111'!$N$11),"x","")</f>
        <v>x</v>
      </c>
      <c r="Q1038" s="55" t="str">
        <f>IF(AND($M1038=$O$7,$B1038&lt;'111'!$N$11),"x","")</f>
        <v/>
      </c>
      <c r="R1038" s="55" t="str">
        <f>IF(ISERROR(FIND('112'!$M$9,G1038,1)),"",IF((AND(FIND('112'!$M$9,G1038,1)&gt;=1,$B1038&gt;='112'!$N$8,$B1038&lt;='112'!$O$8,OR($L1038='112'!$I$6,$M1038='112'!$I$6))),"x",""))</f>
        <v/>
      </c>
      <c r="S1038" s="55" t="str">
        <f>IF(ISERROR(FIND('112'!$M$9,G1038,1)),"",IF((AND(LEFT(G1038,2)=LEFT('112'!$M$9,2),B1038&lt;'112'!$N$8,$L1038='112'!$I$6)),"x",""))</f>
        <v/>
      </c>
      <c r="T1038" s="55" t="str">
        <f>IF(ISERROR(FIND('112'!$M$9,G1038,1)),"",IF((AND(RIGHT(G1038,2)=RIGHT('112'!$M$9,2),B1038&lt;'112'!$N$8,$M1038='112'!$I$6)),"x",""))</f>
        <v/>
      </c>
      <c r="U1038" s="55" t="str">
        <f>IF(AND('3411-CT'!$F$9=H1038,OR(LEFT(L1038,3)=$U$7,LEFT(M1038,3)=$U$7)),"x","")</f>
        <v/>
      </c>
      <c r="V1038" s="55" t="str">
        <f>IF(OR(TH!L1038=TH!$V$7,M1038=TH!$V$7),"x","")</f>
        <v/>
      </c>
      <c r="W1038" s="55" t="str">
        <f>IF(AND(OR(L1038="131",M1038="131"),H1038='131-CT'!$E$7),"x","")</f>
        <v/>
      </c>
      <c r="X1038" s="55" t="str">
        <f>IF(AND(B1038&gt;='IN-NX'!$P$3,B1038&lt;='IN-NX'!$Q$3,'IN-NX'!$D$7=D1038,OR(LEFT(TH!L1038,2)="15",LEFT(TH!M1038,2)="15")),"x","")</f>
        <v/>
      </c>
      <c r="Y1038" s="55" t="str">
        <f>IF(AND(OR(LEFT(TH!L1038,2)="15",LEFT(TH!M1038,2)="15"),'152-CT'!$J$8=TH!F1038),"x","")</f>
        <v/>
      </c>
      <c r="Z1038" s="55" t="str">
        <f>IF(AND(OR(LEFT(TH!L1038,2)="15",LEFT(TH!M1038,2)="15"),TK!$E$7=TH!F1038),"x","")</f>
        <v/>
      </c>
      <c r="AA1038" s="55" t="str">
        <f>IF(AND(B1038&lt;=NKC!$N$8,B1038&gt;=NKC!$M$8),"x","")</f>
        <v/>
      </c>
    </row>
    <row r="1039" spans="1:29" ht="15.75" customHeight="1">
      <c r="A1039" s="219" t="str">
        <f>IF(B1039&lt;&gt;"",IF(AND(B1039&gt;=_TM1,B1039&lt;=_TM2,OR(TH!L1039="1111",TH!M1039="1111")),TH!D1039,""),"")</f>
        <v/>
      </c>
      <c r="B1039" s="36">
        <f t="shared" si="45"/>
        <v>3</v>
      </c>
      <c r="C1039" s="205">
        <f t="shared" si="44"/>
        <v>40998</v>
      </c>
      <c r="D1039" s="893"/>
      <c r="E1039" s="205">
        <v>40998</v>
      </c>
      <c r="F1039" s="894" t="s">
        <v>1242</v>
      </c>
      <c r="G1039" s="581" t="s">
        <v>1240</v>
      </c>
      <c r="H1039" s="207" t="s">
        <v>1207</v>
      </c>
      <c r="I1039" s="275">
        <v>2100</v>
      </c>
      <c r="J1039" s="275">
        <v>655</v>
      </c>
      <c r="K1039" s="698">
        <f t="shared" si="43"/>
        <v>1375500</v>
      </c>
      <c r="L1039" s="208" t="s">
        <v>49</v>
      </c>
      <c r="M1039" s="208" t="s">
        <v>208</v>
      </c>
      <c r="N1039" s="55" t="str">
        <f>IF(AND('331-CT'!$E$7=TH!H1039,OR(L1039="331",M1039="331")),"x","")</f>
        <v/>
      </c>
      <c r="O1039" s="55" t="str">
        <f>IF(AND($B1039&gt;='111'!$N$11,$B1039&lt;='111'!$O$11,OR($L1039=$O$7,$M1039=$O$7)),"x","")</f>
        <v/>
      </c>
      <c r="P1039" s="55" t="str">
        <f>IF(AND($L1039=$O$7,$B1039&lt;'111'!$N$11),"x","")</f>
        <v>x</v>
      </c>
      <c r="Q1039" s="55" t="str">
        <f>IF(AND($M1039=$O$7,$B1039&lt;'111'!$N$11),"x","")</f>
        <v/>
      </c>
      <c r="R1039" s="55" t="str">
        <f>IF(ISERROR(FIND('112'!$M$9,G1039,1)),"",IF((AND(FIND('112'!$M$9,G1039,1)&gt;=1,$B1039&gt;='112'!$N$8,$B1039&lt;='112'!$O$8,OR($L1039='112'!$I$6,$M1039='112'!$I$6))),"x",""))</f>
        <v/>
      </c>
      <c r="S1039" s="55" t="str">
        <f>IF(ISERROR(FIND('112'!$M$9,G1039,1)),"",IF((AND(LEFT(G1039,2)=LEFT('112'!$M$9,2),B1039&lt;'112'!$N$8,$L1039='112'!$I$6)),"x",""))</f>
        <v/>
      </c>
      <c r="T1039" s="55" t="str">
        <f>IF(ISERROR(FIND('112'!$M$9,G1039,1)),"",IF((AND(RIGHT(G1039,2)=RIGHT('112'!$M$9,2),B1039&lt;'112'!$N$8,$M1039='112'!$I$6)),"x",""))</f>
        <v/>
      </c>
      <c r="U1039" s="55" t="str">
        <f>IF(AND('3411-CT'!$F$9=H1039,OR(LEFT(L1039,3)=$U$7,LEFT(M1039,3)=$U$7)),"x","")</f>
        <v/>
      </c>
      <c r="V1039" s="55" t="str">
        <f>IF(OR(TH!L1039=TH!$V$7,M1039=TH!$V$7),"x","")</f>
        <v/>
      </c>
      <c r="W1039" s="55" t="str">
        <f>IF(AND(OR(L1039="131",M1039="131"),H1039='131-CT'!$E$7),"x","")</f>
        <v/>
      </c>
      <c r="X1039" s="55" t="str">
        <f>IF(AND(B1039&gt;='IN-NX'!$P$3,B1039&lt;='IN-NX'!$Q$3,'IN-NX'!$D$7=D1039,OR(LEFT(TH!L1039,2)="15",LEFT(TH!M1039,2)="15")),"x","")</f>
        <v/>
      </c>
      <c r="Y1039" s="55" t="str">
        <f>IF(AND(OR(LEFT(TH!L1039,2)="15",LEFT(TH!M1039,2)="15"),'152-CT'!$J$8=TH!F1039),"x","")</f>
        <v/>
      </c>
      <c r="Z1039" s="55" t="str">
        <f>IF(AND(OR(LEFT(TH!L1039,2)="15",LEFT(TH!M1039,2)="15"),TK!$E$7=TH!F1039),"x","")</f>
        <v/>
      </c>
      <c r="AA1039" s="55" t="str">
        <f>IF(AND(B1039&lt;=NKC!$N$8,B1039&gt;=NKC!$M$8),"x","")</f>
        <v/>
      </c>
    </row>
    <row r="1040" spans="1:29" ht="15.75" customHeight="1">
      <c r="A1040" s="219" t="str">
        <f>IF(B1040&lt;&gt;"",IF(AND(B1040&gt;=_TM1,B1040&lt;=_TM2,OR(TH!L1040="1111",TH!M1040="1111")),TH!D1040,""),"")</f>
        <v/>
      </c>
      <c r="B1040" s="36">
        <f t="shared" si="45"/>
        <v>3</v>
      </c>
      <c r="C1040" s="205">
        <f t="shared" si="44"/>
        <v>40998</v>
      </c>
      <c r="D1040" s="893"/>
      <c r="E1040" s="205">
        <v>40998</v>
      </c>
      <c r="F1040" s="206" t="s">
        <v>1185</v>
      </c>
      <c r="G1040" s="581" t="s">
        <v>1240</v>
      </c>
      <c r="H1040" s="207" t="s">
        <v>1207</v>
      </c>
      <c r="I1040" s="275"/>
      <c r="J1040" s="275"/>
      <c r="K1040" s="698">
        <v>416618</v>
      </c>
      <c r="L1040" s="208" t="s">
        <v>49</v>
      </c>
      <c r="M1040" s="208" t="s">
        <v>549</v>
      </c>
      <c r="N1040" s="55" t="str">
        <f>IF(AND('331-CT'!$E$7=TH!H1040,OR(L1040="331",M1040="331")),"x","")</f>
        <v/>
      </c>
      <c r="O1040" s="55" t="str">
        <f>IF(AND($B1040&gt;='111'!$N$11,$B1040&lt;='111'!$O$11,OR($L1040=$O$7,$M1040=$O$7)),"x","")</f>
        <v/>
      </c>
      <c r="P1040" s="55" t="str">
        <f>IF(AND($L1040=$O$7,$B1040&lt;'111'!$N$11),"x","")</f>
        <v>x</v>
      </c>
      <c r="Q1040" s="55" t="str">
        <f>IF(AND($M1040=$O$7,$B1040&lt;'111'!$N$11),"x","")</f>
        <v/>
      </c>
      <c r="R1040" s="55" t="str">
        <f>IF(ISERROR(FIND('112'!$M$9,G1040,1)),"",IF((AND(FIND('112'!$M$9,G1040,1)&gt;=1,$B1040&gt;='112'!$N$8,$B1040&lt;='112'!$O$8,OR($L1040='112'!$I$6,$M1040='112'!$I$6))),"x",""))</f>
        <v/>
      </c>
      <c r="S1040" s="55" t="str">
        <f>IF(ISERROR(FIND('112'!$M$9,G1040,1)),"",IF((AND(LEFT(G1040,2)=LEFT('112'!$M$9,2),B1040&lt;'112'!$N$8,$L1040='112'!$I$6)),"x",""))</f>
        <v/>
      </c>
      <c r="T1040" s="55" t="str">
        <f>IF(ISERROR(FIND('112'!$M$9,G1040,1)),"",IF((AND(RIGHT(G1040,2)=RIGHT('112'!$M$9,2),B1040&lt;'112'!$N$8,$M1040='112'!$I$6)),"x",""))</f>
        <v/>
      </c>
      <c r="U1040" s="55" t="str">
        <f>IF(AND('3411-CT'!$F$9=H1040,OR(LEFT(L1040,3)=$U$7,LEFT(M1040,3)=$U$7)),"x","")</f>
        <v/>
      </c>
      <c r="V1040" s="55" t="str">
        <f>IF(OR(TH!L1040=TH!$V$7,M1040=TH!$V$7),"x","")</f>
        <v/>
      </c>
      <c r="W1040" s="55" t="str">
        <f>IF(AND(OR(L1040="131",M1040="131"),H1040='131-CT'!$E$7),"x","")</f>
        <v/>
      </c>
      <c r="X1040" s="55" t="str">
        <f>IF(AND(B1040&gt;='IN-NX'!$P$3,B1040&lt;='IN-NX'!$Q$3,'IN-NX'!$D$7=D1040,OR(LEFT(TH!L1040,2)="15",LEFT(TH!M1040,2)="15")),"x","")</f>
        <v/>
      </c>
      <c r="Y1040" s="55" t="str">
        <f>IF(AND(OR(LEFT(TH!L1040,2)="15",LEFT(TH!M1040,2)="15"),'152-CT'!$J$8=TH!F1040),"x","")</f>
        <v/>
      </c>
      <c r="Z1040" s="55" t="str">
        <f>IF(AND(OR(LEFT(TH!L1040,2)="15",LEFT(TH!M1040,2)="15"),TK!$E$7=TH!F1040),"x","")</f>
        <v/>
      </c>
      <c r="AA1040" s="55" t="str">
        <f>IF(AND(B1040&lt;=NKC!$N$8,B1040&gt;=NKC!$M$8),"x","")</f>
        <v/>
      </c>
      <c r="AC1040" s="226"/>
    </row>
    <row r="1041" spans="1:29" ht="15.75" customHeight="1">
      <c r="A1041" s="219" t="str">
        <f>IF(B1041&lt;&gt;"",IF(AND(B1041&gt;=_TM1,B1041&lt;=_TM2,OR(TH!L1041="1111",TH!M1041="1111")),TH!D1041,""),"")</f>
        <v/>
      </c>
      <c r="B1041" s="36">
        <f t="shared" si="45"/>
        <v>3</v>
      </c>
      <c r="C1041" s="205">
        <f t="shared" si="44"/>
        <v>40998</v>
      </c>
      <c r="D1041" s="893"/>
      <c r="E1041" s="205">
        <v>40998</v>
      </c>
      <c r="F1041" s="894" t="s">
        <v>1183</v>
      </c>
      <c r="G1041" s="895" t="s">
        <v>1243</v>
      </c>
      <c r="H1041" s="7" t="s">
        <v>1553</v>
      </c>
      <c r="I1041" s="896"/>
      <c r="J1041" s="896"/>
      <c r="K1041" s="698">
        <v>27864507</v>
      </c>
      <c r="L1041" s="208" t="s">
        <v>311</v>
      </c>
      <c r="M1041" s="208" t="s">
        <v>208</v>
      </c>
      <c r="N1041" s="55" t="str">
        <f>IF(AND('331-CT'!$E$7=TH!H1041,OR(L1041="331",M1041="331")),"x","")</f>
        <v/>
      </c>
      <c r="O1041" s="55" t="str">
        <f>IF(AND($B1041&gt;='111'!$N$11,$B1041&lt;='111'!$O$11,OR($L1041=$O$7,$M1041=$O$7)),"x","")</f>
        <v/>
      </c>
      <c r="P1041" s="55" t="str">
        <f>IF(AND($L1041=$O$7,$B1041&lt;'111'!$N$11),"x","")</f>
        <v/>
      </c>
      <c r="Q1041" s="55" t="str">
        <f>IF(AND($M1041=$O$7,$B1041&lt;'111'!$N$11),"x","")</f>
        <v/>
      </c>
      <c r="R1041" s="55" t="str">
        <f>IF(ISERROR(FIND('112'!$M$9,G1041,1)),"",IF((AND(FIND('112'!$M$9,G1041,1)&gt;=1,$B1041&gt;='112'!$N$8,$B1041&lt;='112'!$O$8,OR($L1041='112'!$I$6,$M1041='112'!$I$6))),"x",""))</f>
        <v/>
      </c>
      <c r="S1041" s="55" t="str">
        <f>IF(ISERROR(FIND('112'!$M$9,G1041,1)),"",IF((AND(LEFT(G1041,2)=LEFT('112'!$M$9,2),B1041&lt;'112'!$N$8,$L1041='112'!$I$6)),"x",""))</f>
        <v/>
      </c>
      <c r="T1041" s="55" t="str">
        <f>IF(ISERROR(FIND('112'!$M$9,G1041,1)),"",IF((AND(RIGHT(G1041,2)=RIGHT('112'!$M$9,2),B1041&lt;'112'!$N$8,$M1041='112'!$I$6)),"x",""))</f>
        <v/>
      </c>
      <c r="U1041" s="55" t="str">
        <f>IF(AND('3411-CT'!$F$9=H1041,OR(LEFT(L1041,3)=$U$7,LEFT(M1041,3)=$U$7)),"x","")</f>
        <v/>
      </c>
      <c r="V1041" s="55" t="str">
        <f>IF(OR(TH!L1041=TH!$V$7,M1041=TH!$V$7),"x","")</f>
        <v/>
      </c>
      <c r="W1041" s="55" t="str">
        <f>IF(AND(OR(L1041="131",M1041="131"),H1041='131-CT'!$E$7),"x","")</f>
        <v/>
      </c>
      <c r="X1041" s="55" t="str">
        <f>IF(AND(B1041&gt;='IN-NX'!$P$3,B1041&lt;='IN-NX'!$Q$3,'IN-NX'!$D$7=D1041,OR(LEFT(TH!L1041,2)="15",LEFT(TH!M1041,2)="15")),"x","")</f>
        <v/>
      </c>
      <c r="Y1041" s="55" t="str">
        <f>IF(AND(OR(LEFT(TH!L1041,2)="15",LEFT(TH!M1041,2)="15"),'152-CT'!$J$8=TH!F1041),"x","")</f>
        <v/>
      </c>
      <c r="Z1041" s="55" t="str">
        <f>IF(AND(OR(LEFT(TH!L1041,2)="15",LEFT(TH!M1041,2)="15"),TK!$E$7=TH!F1041),"x","")</f>
        <v/>
      </c>
      <c r="AA1041" s="55" t="str">
        <f>IF(AND(B1041&lt;=NKC!$N$8,B1041&gt;=NKC!$M$8),"x","")</f>
        <v/>
      </c>
    </row>
    <row r="1042" spans="1:29" ht="15.75" customHeight="1">
      <c r="A1042" s="219" t="str">
        <f>IF(B1042&lt;&gt;"",IF(AND(B1042&gt;=_TM1,B1042&lt;=_TM2,OR(TH!L1042="1111",TH!M1042="1111")),TH!D1042,""),"")</f>
        <v/>
      </c>
      <c r="B1042" s="36">
        <f t="shared" si="45"/>
        <v>3</v>
      </c>
      <c r="C1042" s="205">
        <f t="shared" si="44"/>
        <v>40998</v>
      </c>
      <c r="D1042" s="897"/>
      <c r="E1042" s="205">
        <v>40998</v>
      </c>
      <c r="F1042" s="206" t="s">
        <v>1185</v>
      </c>
      <c r="G1042" s="895" t="s">
        <v>1243</v>
      </c>
      <c r="H1042" s="7" t="s">
        <v>1553</v>
      </c>
      <c r="I1042" s="277"/>
      <c r="J1042" s="277"/>
      <c r="K1042" s="698">
        <v>2786451</v>
      </c>
      <c r="L1042" s="208" t="s">
        <v>311</v>
      </c>
      <c r="M1042" s="208" t="s">
        <v>549</v>
      </c>
      <c r="N1042" s="55" t="str">
        <f>IF(AND('331-CT'!$E$7=TH!H1042,OR(L1042="331",M1042="331")),"x","")</f>
        <v/>
      </c>
      <c r="O1042" s="55" t="str">
        <f>IF(AND($B1042&gt;='111'!$N$11,$B1042&lt;='111'!$O$11,OR($L1042=$O$7,$M1042=$O$7)),"x","")</f>
        <v/>
      </c>
      <c r="P1042" s="55" t="str">
        <f>IF(AND($L1042=$O$7,$B1042&lt;'111'!$N$11),"x","")</f>
        <v/>
      </c>
      <c r="Q1042" s="55" t="str">
        <f>IF(AND($M1042=$O$7,$B1042&lt;'111'!$N$11),"x","")</f>
        <v/>
      </c>
      <c r="R1042" s="55" t="str">
        <f>IF(ISERROR(FIND('112'!$M$9,G1042,1)),"",IF((AND(FIND('112'!$M$9,G1042,1)&gt;=1,$B1042&gt;='112'!$N$8,$B1042&lt;='112'!$O$8,OR($L1042='112'!$I$6,$M1042='112'!$I$6))),"x",""))</f>
        <v/>
      </c>
      <c r="S1042" s="55" t="str">
        <f>IF(ISERROR(FIND('112'!$M$9,G1042,1)),"",IF((AND(LEFT(G1042,2)=LEFT('112'!$M$9,2),B1042&lt;'112'!$N$8,$L1042='112'!$I$6)),"x",""))</f>
        <v/>
      </c>
      <c r="T1042" s="55" t="str">
        <f>IF(ISERROR(FIND('112'!$M$9,G1042,1)),"",IF((AND(RIGHT(G1042,2)=RIGHT('112'!$M$9,2),B1042&lt;'112'!$N$8,$M1042='112'!$I$6)),"x",""))</f>
        <v/>
      </c>
      <c r="U1042" s="55" t="str">
        <f>IF(AND('3411-CT'!$F$9=H1042,OR(LEFT(L1042,3)=$U$7,LEFT(M1042,3)=$U$7)),"x","")</f>
        <v/>
      </c>
      <c r="V1042" s="55" t="str">
        <f>IF(OR(TH!L1042=TH!$V$7,M1042=TH!$V$7),"x","")</f>
        <v/>
      </c>
      <c r="W1042" s="55" t="str">
        <f>IF(AND(OR(L1042="131",M1042="131"),H1042='131-CT'!$E$7),"x","")</f>
        <v/>
      </c>
      <c r="X1042" s="55" t="str">
        <f>IF(AND(B1042&gt;='IN-NX'!$P$3,B1042&lt;='IN-NX'!$Q$3,'IN-NX'!$D$7=D1042,OR(LEFT(TH!L1042,2)="15",LEFT(TH!M1042,2)="15")),"x","")</f>
        <v/>
      </c>
      <c r="Y1042" s="55" t="str">
        <f>IF(AND(OR(LEFT(TH!L1042,2)="15",LEFT(TH!M1042,2)="15"),'152-CT'!$J$8=TH!F1042),"x","")</f>
        <v/>
      </c>
      <c r="Z1042" s="55" t="str">
        <f>IF(AND(OR(LEFT(TH!L1042,2)="15",LEFT(TH!M1042,2)="15"),TK!$E$7=TH!F1042),"x","")</f>
        <v/>
      </c>
      <c r="AA1042" s="55" t="str">
        <f>IF(AND(B1042&lt;=NKC!$N$8,B1042&gt;=NKC!$M$8),"x","")</f>
        <v/>
      </c>
      <c r="AC1042" s="226"/>
    </row>
    <row r="1043" spans="1:29" ht="15.75" customHeight="1">
      <c r="A1043" s="219" t="str">
        <f>IF(B1043&lt;&gt;"",IF(AND(B1043&gt;=_TM1,B1043&lt;=_TM2,OR(TH!L1043="1111",TH!M1043="1111")),TH!D1043,""),"")</f>
        <v/>
      </c>
      <c r="B1043" s="36">
        <f t="shared" si="45"/>
        <v>3</v>
      </c>
      <c r="C1043" s="205">
        <f t="shared" si="44"/>
        <v>40998</v>
      </c>
      <c r="D1043" s="897"/>
      <c r="E1043" s="205">
        <v>40998</v>
      </c>
      <c r="F1043" s="894" t="s">
        <v>1183</v>
      </c>
      <c r="G1043" s="898" t="s">
        <v>1244</v>
      </c>
      <c r="H1043" s="7" t="s">
        <v>1553</v>
      </c>
      <c r="I1043" s="899"/>
      <c r="J1043" s="899"/>
      <c r="K1043" s="698">
        <v>24097346</v>
      </c>
      <c r="L1043" s="208" t="s">
        <v>311</v>
      </c>
      <c r="M1043" s="208" t="s">
        <v>208</v>
      </c>
      <c r="N1043" s="55" t="str">
        <f>IF(AND('331-CT'!$E$7=TH!H1043,OR(L1043="331",M1043="331")),"x","")</f>
        <v/>
      </c>
      <c r="O1043" s="55" t="str">
        <f>IF(AND($B1043&gt;='111'!$N$11,$B1043&lt;='111'!$O$11,OR($L1043=$O$7,$M1043=$O$7)),"x","")</f>
        <v/>
      </c>
      <c r="P1043" s="55" t="str">
        <f>IF(AND($L1043=$O$7,$B1043&lt;'111'!$N$11),"x","")</f>
        <v/>
      </c>
      <c r="Q1043" s="55" t="str">
        <f>IF(AND($M1043=$O$7,$B1043&lt;'111'!$N$11),"x","")</f>
        <v/>
      </c>
      <c r="R1043" s="55" t="str">
        <f>IF(ISERROR(FIND('112'!$M$9,G1043,1)),"",IF((AND(FIND('112'!$M$9,G1043,1)&gt;=1,$B1043&gt;='112'!$N$8,$B1043&lt;='112'!$O$8,OR($L1043='112'!$I$6,$M1043='112'!$I$6))),"x",""))</f>
        <v/>
      </c>
      <c r="S1043" s="55" t="str">
        <f>IF(ISERROR(FIND('112'!$M$9,G1043,1)),"",IF((AND(LEFT(G1043,2)=LEFT('112'!$M$9,2),B1043&lt;'112'!$N$8,$L1043='112'!$I$6)),"x",""))</f>
        <v/>
      </c>
      <c r="T1043" s="55" t="str">
        <f>IF(ISERROR(FIND('112'!$M$9,G1043,1)),"",IF((AND(RIGHT(G1043,2)=RIGHT('112'!$M$9,2),B1043&lt;'112'!$N$8,$M1043='112'!$I$6)),"x",""))</f>
        <v/>
      </c>
      <c r="U1043" s="55" t="str">
        <f>IF(AND('3411-CT'!$F$9=H1043,OR(LEFT(L1043,3)=$U$7,LEFT(M1043,3)=$U$7)),"x","")</f>
        <v/>
      </c>
      <c r="V1043" s="55" t="str">
        <f>IF(OR(TH!L1043=TH!$V$7,M1043=TH!$V$7),"x","")</f>
        <v/>
      </c>
      <c r="W1043" s="55" t="str">
        <f>IF(AND(OR(L1043="131",M1043="131"),H1043='131-CT'!$E$7),"x","")</f>
        <v/>
      </c>
      <c r="X1043" s="55" t="str">
        <f>IF(AND(B1043&gt;='IN-NX'!$P$3,B1043&lt;='IN-NX'!$Q$3,'IN-NX'!$D$7=D1043,OR(LEFT(TH!L1043,2)="15",LEFT(TH!M1043,2)="15")),"x","")</f>
        <v/>
      </c>
      <c r="Y1043" s="55" t="str">
        <f>IF(AND(OR(LEFT(TH!L1043,2)="15",LEFT(TH!M1043,2)="15"),'152-CT'!$J$8=TH!F1043),"x","")</f>
        <v/>
      </c>
      <c r="Z1043" s="55" t="str">
        <f>IF(AND(OR(LEFT(TH!L1043,2)="15",LEFT(TH!M1043,2)="15"),TK!$E$7=TH!F1043),"x","")</f>
        <v/>
      </c>
      <c r="AA1043" s="55" t="str">
        <f>IF(AND(B1043&lt;=NKC!$N$8,B1043&gt;=NKC!$M$8),"x","")</f>
        <v/>
      </c>
    </row>
    <row r="1044" spans="1:29" ht="15.75" customHeight="1">
      <c r="A1044" s="219" t="str">
        <f>IF(B1044&lt;&gt;"",IF(AND(B1044&gt;=_TM1,B1044&lt;=_TM2,OR(TH!L1044="1111",TH!M1044="1111")),TH!D1044,""),"")</f>
        <v/>
      </c>
      <c r="B1044" s="36">
        <f t="shared" si="45"/>
        <v>3</v>
      </c>
      <c r="C1044" s="205">
        <f t="shared" si="44"/>
        <v>40998</v>
      </c>
      <c r="D1044" s="897"/>
      <c r="E1044" s="205">
        <v>40998</v>
      </c>
      <c r="F1044" s="206" t="s">
        <v>1185</v>
      </c>
      <c r="G1044" s="898" t="s">
        <v>1244</v>
      </c>
      <c r="H1044" s="7" t="s">
        <v>1553</v>
      </c>
      <c r="I1044" s="899"/>
      <c r="J1044" s="899"/>
      <c r="K1044" s="698">
        <v>2409735</v>
      </c>
      <c r="L1044" s="208" t="s">
        <v>311</v>
      </c>
      <c r="M1044" s="208" t="s">
        <v>549</v>
      </c>
      <c r="N1044" s="55" t="str">
        <f>IF(AND('331-CT'!$E$7=TH!H1044,OR(L1044="331",M1044="331")),"x","")</f>
        <v/>
      </c>
      <c r="O1044" s="55" t="str">
        <f>IF(AND($B1044&gt;='111'!$N$11,$B1044&lt;='111'!$O$11,OR($L1044=$O$7,$M1044=$O$7)),"x","")</f>
        <v/>
      </c>
      <c r="P1044" s="55" t="str">
        <f>IF(AND($L1044=$O$7,$B1044&lt;'111'!$N$11),"x","")</f>
        <v/>
      </c>
      <c r="Q1044" s="55" t="str">
        <f>IF(AND($M1044=$O$7,$B1044&lt;'111'!$N$11),"x","")</f>
        <v/>
      </c>
      <c r="R1044" s="55" t="str">
        <f>IF(ISERROR(FIND('112'!$M$9,G1044,1)),"",IF((AND(FIND('112'!$M$9,G1044,1)&gt;=1,$B1044&gt;='112'!$N$8,$B1044&lt;='112'!$O$8,OR($L1044='112'!$I$6,$M1044='112'!$I$6))),"x",""))</f>
        <v/>
      </c>
      <c r="S1044" s="55" t="str">
        <f>IF(ISERROR(FIND('112'!$M$9,G1044,1)),"",IF((AND(LEFT(G1044,2)=LEFT('112'!$M$9,2),B1044&lt;'112'!$N$8,$L1044='112'!$I$6)),"x",""))</f>
        <v/>
      </c>
      <c r="T1044" s="55" t="str">
        <f>IF(ISERROR(FIND('112'!$M$9,G1044,1)),"",IF((AND(RIGHT(G1044,2)=RIGHT('112'!$M$9,2),B1044&lt;'112'!$N$8,$M1044='112'!$I$6)),"x",""))</f>
        <v/>
      </c>
      <c r="U1044" s="55" t="str">
        <f>IF(AND('3411-CT'!$F$9=H1044,OR(LEFT(L1044,3)=$U$7,LEFT(M1044,3)=$U$7)),"x","")</f>
        <v/>
      </c>
      <c r="V1044" s="55" t="str">
        <f>IF(OR(TH!L1044=TH!$V$7,M1044=TH!$V$7),"x","")</f>
        <v/>
      </c>
      <c r="W1044" s="55" t="str">
        <f>IF(AND(OR(L1044="131",M1044="131"),H1044='131-CT'!$E$7),"x","")</f>
        <v/>
      </c>
      <c r="X1044" s="55" t="str">
        <f>IF(AND(B1044&gt;='IN-NX'!$P$3,B1044&lt;='IN-NX'!$Q$3,'IN-NX'!$D$7=D1044,OR(LEFT(TH!L1044,2)="15",LEFT(TH!M1044,2)="15")),"x","")</f>
        <v/>
      </c>
      <c r="Y1044" s="55" t="str">
        <f>IF(AND(OR(LEFT(TH!L1044,2)="15",LEFT(TH!M1044,2)="15"),'152-CT'!$J$8=TH!F1044),"x","")</f>
        <v/>
      </c>
      <c r="Z1044" s="55" t="str">
        <f>IF(AND(OR(LEFT(TH!L1044,2)="15",LEFT(TH!M1044,2)="15"),TK!$E$7=TH!F1044),"x","")</f>
        <v/>
      </c>
      <c r="AA1044" s="55" t="str">
        <f>IF(AND(B1044&lt;=NKC!$N$8,B1044&gt;=NKC!$M$8),"x","")</f>
        <v/>
      </c>
      <c r="AC1044" s="226"/>
    </row>
    <row r="1045" spans="1:29" ht="15.75" customHeight="1">
      <c r="A1045" s="219" t="str">
        <f>IF(B1045&lt;&gt;"",IF(AND(B1045&gt;=_TM1,B1045&lt;=_TM2,OR(TH!L1045="1111",TH!M1045="1111")),TH!D1045,""),"")</f>
        <v/>
      </c>
      <c r="B1045" s="36">
        <f t="shared" si="45"/>
        <v>3</v>
      </c>
      <c r="C1045" s="205">
        <f t="shared" si="44"/>
        <v>40998</v>
      </c>
      <c r="D1045" s="897"/>
      <c r="E1045" s="205">
        <v>40998</v>
      </c>
      <c r="F1045" s="900" t="s">
        <v>1245</v>
      </c>
      <c r="G1045" s="901" t="s">
        <v>1246</v>
      </c>
      <c r="H1045" s="207" t="s">
        <v>1134</v>
      </c>
      <c r="I1045" s="277">
        <v>425</v>
      </c>
      <c r="J1045" s="277">
        <v>9300</v>
      </c>
      <c r="K1045" s="698">
        <f t="shared" ref="K1045:K1107" si="46">ROUND(I1045*J1045,0)</f>
        <v>3952500</v>
      </c>
      <c r="L1045" s="208" t="s">
        <v>311</v>
      </c>
      <c r="M1045" s="208" t="s">
        <v>208</v>
      </c>
      <c r="N1045" s="55" t="str">
        <f>IF(AND('331-CT'!$E$7=TH!H1045,OR(L1045="331",M1045="331")),"x","")</f>
        <v/>
      </c>
      <c r="O1045" s="55" t="str">
        <f>IF(AND($B1045&gt;='111'!$N$11,$B1045&lt;='111'!$O$11,OR($L1045=$O$7,$M1045=$O$7)),"x","")</f>
        <v/>
      </c>
      <c r="P1045" s="55" t="str">
        <f>IF(AND($L1045=$O$7,$B1045&lt;'111'!$N$11),"x","")</f>
        <v/>
      </c>
      <c r="Q1045" s="55" t="str">
        <f>IF(AND($M1045=$O$7,$B1045&lt;'111'!$N$11),"x","")</f>
        <v/>
      </c>
      <c r="R1045" s="55" t="str">
        <f>IF(ISERROR(FIND('112'!$M$9,G1045,1)),"",IF((AND(FIND('112'!$M$9,G1045,1)&gt;=1,$B1045&gt;='112'!$N$8,$B1045&lt;='112'!$O$8,OR($L1045='112'!$I$6,$M1045='112'!$I$6))),"x",""))</f>
        <v/>
      </c>
      <c r="S1045" s="55" t="str">
        <f>IF(ISERROR(FIND('112'!$M$9,G1045,1)),"",IF((AND(LEFT(G1045,2)=LEFT('112'!$M$9,2),B1045&lt;'112'!$N$8,$L1045='112'!$I$6)),"x",""))</f>
        <v/>
      </c>
      <c r="T1045" s="55" t="str">
        <f>IF(ISERROR(FIND('112'!$M$9,G1045,1)),"",IF((AND(RIGHT(G1045,2)=RIGHT('112'!$M$9,2),B1045&lt;'112'!$N$8,$M1045='112'!$I$6)),"x",""))</f>
        <v/>
      </c>
      <c r="U1045" s="55" t="str">
        <f>IF(AND('3411-CT'!$F$9=H1045,OR(LEFT(L1045,3)=$U$7,LEFT(M1045,3)=$U$7)),"x","")</f>
        <v/>
      </c>
      <c r="V1045" s="55" t="str">
        <f>IF(OR(TH!L1045=TH!$V$7,M1045=TH!$V$7),"x","")</f>
        <v/>
      </c>
      <c r="W1045" s="55" t="str">
        <f>IF(AND(OR(L1045="131",M1045="131"),H1045='131-CT'!$E$7),"x","")</f>
        <v/>
      </c>
      <c r="X1045" s="55" t="str">
        <f>IF(AND(B1045&gt;='IN-NX'!$P$3,B1045&lt;='IN-NX'!$Q$3,'IN-NX'!$D$7=D1045,OR(LEFT(TH!L1045,2)="15",LEFT(TH!M1045,2)="15")),"x","")</f>
        <v/>
      </c>
      <c r="Y1045" s="55" t="str">
        <f>IF(AND(OR(LEFT(TH!L1045,2)="15",LEFT(TH!M1045,2)="15"),'152-CT'!$J$8=TH!F1045),"x","")</f>
        <v/>
      </c>
      <c r="Z1045" s="55" t="str">
        <f>IF(AND(OR(LEFT(TH!L1045,2)="15",LEFT(TH!M1045,2)="15"),TK!$E$7=TH!F1045),"x","")</f>
        <v/>
      </c>
      <c r="AA1045" s="55" t="str">
        <f>IF(AND(B1045&lt;=NKC!$N$8,B1045&gt;=NKC!$M$8),"x","")</f>
        <v/>
      </c>
    </row>
    <row r="1046" spans="1:29" ht="15.75" customHeight="1">
      <c r="A1046" s="219" t="str">
        <f>IF(B1046&lt;&gt;"",IF(AND(B1046&gt;=_TM1,B1046&lt;=_TM2,OR(TH!L1046="1111",TH!M1046="1111")),TH!D1046,""),"")</f>
        <v/>
      </c>
      <c r="B1046" s="36">
        <f t="shared" si="45"/>
        <v>3</v>
      </c>
      <c r="C1046" s="205">
        <f t="shared" si="44"/>
        <v>40998</v>
      </c>
      <c r="D1046" s="897"/>
      <c r="E1046" s="205">
        <v>40998</v>
      </c>
      <c r="F1046" s="206" t="s">
        <v>1185</v>
      </c>
      <c r="G1046" s="901" t="s">
        <v>1246</v>
      </c>
      <c r="H1046" s="207" t="s">
        <v>1134</v>
      </c>
      <c r="I1046" s="899"/>
      <c r="J1046" s="899"/>
      <c r="K1046" s="698">
        <v>395250</v>
      </c>
      <c r="L1046" s="208" t="s">
        <v>311</v>
      </c>
      <c r="M1046" s="208" t="s">
        <v>549</v>
      </c>
      <c r="N1046" s="55" t="str">
        <f>IF(AND('331-CT'!$E$7=TH!H1046,OR(L1046="331",M1046="331")),"x","")</f>
        <v/>
      </c>
      <c r="O1046" s="55" t="str">
        <f>IF(AND($B1046&gt;='111'!$N$11,$B1046&lt;='111'!$O$11,OR($L1046=$O$7,$M1046=$O$7)),"x","")</f>
        <v/>
      </c>
      <c r="P1046" s="55" t="str">
        <f>IF(AND($L1046=$O$7,$B1046&lt;'111'!$N$11),"x","")</f>
        <v/>
      </c>
      <c r="Q1046" s="55" t="str">
        <f>IF(AND($M1046=$O$7,$B1046&lt;'111'!$N$11),"x","")</f>
        <v/>
      </c>
      <c r="R1046" s="55" t="str">
        <f>IF(ISERROR(FIND('112'!$M$9,G1046,1)),"",IF((AND(FIND('112'!$M$9,G1046,1)&gt;=1,$B1046&gt;='112'!$N$8,$B1046&lt;='112'!$O$8,OR($L1046='112'!$I$6,$M1046='112'!$I$6))),"x",""))</f>
        <v/>
      </c>
      <c r="S1046" s="55" t="str">
        <f>IF(ISERROR(FIND('112'!$M$9,G1046,1)),"",IF((AND(LEFT(G1046,2)=LEFT('112'!$M$9,2),B1046&lt;'112'!$N$8,$L1046='112'!$I$6)),"x",""))</f>
        <v/>
      </c>
      <c r="T1046" s="55" t="str">
        <f>IF(ISERROR(FIND('112'!$M$9,G1046,1)),"",IF((AND(RIGHT(G1046,2)=RIGHT('112'!$M$9,2),B1046&lt;'112'!$N$8,$M1046='112'!$I$6)),"x",""))</f>
        <v/>
      </c>
      <c r="U1046" s="55" t="str">
        <f>IF(AND('3411-CT'!$F$9=H1046,OR(LEFT(L1046,3)=$U$7,LEFT(M1046,3)=$U$7)),"x","")</f>
        <v/>
      </c>
      <c r="V1046" s="55" t="str">
        <f>IF(OR(TH!L1046=TH!$V$7,M1046=TH!$V$7),"x","")</f>
        <v/>
      </c>
      <c r="W1046" s="55" t="str">
        <f>IF(AND(OR(L1046="131",M1046="131"),H1046='131-CT'!$E$7),"x","")</f>
        <v/>
      </c>
      <c r="X1046" s="55" t="str">
        <f>IF(AND(B1046&gt;='IN-NX'!$P$3,B1046&lt;='IN-NX'!$Q$3,'IN-NX'!$D$7=D1046,OR(LEFT(TH!L1046,2)="15",LEFT(TH!M1046,2)="15")),"x","")</f>
        <v/>
      </c>
      <c r="Y1046" s="55" t="str">
        <f>IF(AND(OR(LEFT(TH!L1046,2)="15",LEFT(TH!M1046,2)="15"),'152-CT'!$J$8=TH!F1046),"x","")</f>
        <v/>
      </c>
      <c r="Z1046" s="55" t="str">
        <f>IF(AND(OR(LEFT(TH!L1046,2)="15",LEFT(TH!M1046,2)="15"),TK!$E$7=TH!F1046),"x","")</f>
        <v/>
      </c>
      <c r="AA1046" s="55" t="str">
        <f>IF(AND(B1046&lt;=NKC!$N$8,B1046&gt;=NKC!$M$8),"x","")</f>
        <v/>
      </c>
      <c r="AC1046" s="226"/>
    </row>
    <row r="1047" spans="1:29" ht="15.75" customHeight="1">
      <c r="A1047" s="219" t="str">
        <f>IF(B1047&lt;&gt;"",IF(AND(B1047&gt;=_TM1,B1047&lt;=_TM2,OR(TH!L1047="1111",TH!M1047="1111")),TH!D1047,""),"")</f>
        <v/>
      </c>
      <c r="B1047" s="36">
        <f t="shared" si="45"/>
        <v>4</v>
      </c>
      <c r="C1047" s="205">
        <f t="shared" si="44"/>
        <v>41003</v>
      </c>
      <c r="D1047" s="897"/>
      <c r="E1047" s="902">
        <v>41003</v>
      </c>
      <c r="F1047" s="900" t="s">
        <v>1247</v>
      </c>
      <c r="G1047" s="901" t="s">
        <v>1248</v>
      </c>
      <c r="H1047" s="207" t="s">
        <v>1148</v>
      </c>
      <c r="I1047" s="277">
        <v>500</v>
      </c>
      <c r="J1047" s="277">
        <v>11020</v>
      </c>
      <c r="K1047" s="698">
        <f t="shared" si="46"/>
        <v>5510000</v>
      </c>
      <c r="L1047" s="208" t="s">
        <v>49</v>
      </c>
      <c r="M1047" s="208" t="s">
        <v>208</v>
      </c>
      <c r="N1047" s="55" t="str">
        <f>IF(AND('331-CT'!$E$7=TH!H1047,OR(L1047="331",M1047="331")),"x","")</f>
        <v/>
      </c>
      <c r="O1047" s="55" t="str">
        <f>IF(AND($B1047&gt;='111'!$N$11,$B1047&lt;='111'!$O$11,OR($L1047=$O$7,$M1047=$O$7)),"x","")</f>
        <v/>
      </c>
      <c r="P1047" s="55" t="str">
        <f>IF(AND($L1047=$O$7,$B1047&lt;'111'!$N$11),"x","")</f>
        <v>x</v>
      </c>
      <c r="Q1047" s="55" t="str">
        <f>IF(AND($M1047=$O$7,$B1047&lt;'111'!$N$11),"x","")</f>
        <v/>
      </c>
      <c r="R1047" s="55" t="str">
        <f>IF(ISERROR(FIND('112'!$M$9,G1047,1)),"",IF((AND(FIND('112'!$M$9,G1047,1)&gt;=1,$B1047&gt;='112'!$N$8,$B1047&lt;='112'!$O$8,OR($L1047='112'!$I$6,$M1047='112'!$I$6))),"x",""))</f>
        <v/>
      </c>
      <c r="S1047" s="55" t="str">
        <f>IF(ISERROR(FIND('112'!$M$9,G1047,1)),"",IF((AND(LEFT(G1047,2)=LEFT('112'!$M$9,2),B1047&lt;'112'!$N$8,$L1047='112'!$I$6)),"x",""))</f>
        <v/>
      </c>
      <c r="T1047" s="55" t="str">
        <f>IF(ISERROR(FIND('112'!$M$9,G1047,1)),"",IF((AND(RIGHT(G1047,2)=RIGHT('112'!$M$9,2),B1047&lt;'112'!$N$8,$M1047='112'!$I$6)),"x",""))</f>
        <v/>
      </c>
      <c r="U1047" s="55" t="str">
        <f>IF(AND('3411-CT'!$F$9=H1047,OR(LEFT(L1047,3)=$U$7,LEFT(M1047,3)=$U$7)),"x","")</f>
        <v/>
      </c>
      <c r="V1047" s="55" t="str">
        <f>IF(OR(TH!L1047=TH!$V$7,M1047=TH!$V$7),"x","")</f>
        <v/>
      </c>
      <c r="W1047" s="55" t="str">
        <f>IF(AND(OR(L1047="131",M1047="131"),H1047='131-CT'!$E$7),"x","")</f>
        <v/>
      </c>
      <c r="X1047" s="55" t="str">
        <f>IF(AND(B1047&gt;='IN-NX'!$P$3,B1047&lt;='IN-NX'!$Q$3,'IN-NX'!$D$7=D1047,OR(LEFT(TH!L1047,2)="15",LEFT(TH!M1047,2)="15")),"x","")</f>
        <v/>
      </c>
      <c r="Y1047" s="55" t="str">
        <f>IF(AND(OR(LEFT(TH!L1047,2)="15",LEFT(TH!M1047,2)="15"),'152-CT'!$J$8=TH!F1047),"x","")</f>
        <v/>
      </c>
      <c r="Z1047" s="55" t="str">
        <f>IF(AND(OR(LEFT(TH!L1047,2)="15",LEFT(TH!M1047,2)="15"),TK!$E$7=TH!F1047),"x","")</f>
        <v/>
      </c>
      <c r="AA1047" s="55" t="str">
        <f>IF(AND(B1047&lt;=NKC!$N$8,B1047&gt;=NKC!$M$8),"x","")</f>
        <v>x</v>
      </c>
    </row>
    <row r="1048" spans="1:29" ht="15.75" customHeight="1">
      <c r="A1048" s="219" t="str">
        <f>IF(B1048&lt;&gt;"",IF(AND(B1048&gt;=_TM1,B1048&lt;=_TM2,OR(TH!L1048="1111",TH!M1048="1111")),TH!D1048,""),"")</f>
        <v/>
      </c>
      <c r="B1048" s="36">
        <f t="shared" si="45"/>
        <v>4</v>
      </c>
      <c r="C1048" s="205">
        <f t="shared" si="44"/>
        <v>41003</v>
      </c>
      <c r="D1048" s="897"/>
      <c r="E1048" s="902">
        <v>41003</v>
      </c>
      <c r="F1048" s="900" t="s">
        <v>1249</v>
      </c>
      <c r="G1048" s="901" t="s">
        <v>1248</v>
      </c>
      <c r="H1048" s="207" t="s">
        <v>1148</v>
      </c>
      <c r="I1048" s="899">
        <v>200</v>
      </c>
      <c r="J1048" s="899">
        <v>7235</v>
      </c>
      <c r="K1048" s="698">
        <f t="shared" si="46"/>
        <v>1447000</v>
      </c>
      <c r="L1048" s="208" t="s">
        <v>49</v>
      </c>
      <c r="M1048" s="208" t="s">
        <v>208</v>
      </c>
      <c r="N1048" s="55" t="str">
        <f>IF(AND('331-CT'!$E$7=TH!H1048,OR(L1048="331",M1048="331")),"x","")</f>
        <v/>
      </c>
      <c r="O1048" s="55" t="str">
        <f>IF(AND($B1048&gt;='111'!$N$11,$B1048&lt;='111'!$O$11,OR($L1048=$O$7,$M1048=$O$7)),"x","")</f>
        <v/>
      </c>
      <c r="P1048" s="55" t="str">
        <f>IF(AND($L1048=$O$7,$B1048&lt;'111'!$N$11),"x","")</f>
        <v>x</v>
      </c>
      <c r="Q1048" s="55" t="str">
        <f>IF(AND($M1048=$O$7,$B1048&lt;'111'!$N$11),"x","")</f>
        <v/>
      </c>
      <c r="R1048" s="55" t="str">
        <f>IF(ISERROR(FIND('112'!$M$9,G1048,1)),"",IF((AND(FIND('112'!$M$9,G1048,1)&gt;=1,$B1048&gt;='112'!$N$8,$B1048&lt;='112'!$O$8,OR($L1048='112'!$I$6,$M1048='112'!$I$6))),"x",""))</f>
        <v/>
      </c>
      <c r="S1048" s="55" t="str">
        <f>IF(ISERROR(FIND('112'!$M$9,G1048,1)),"",IF((AND(LEFT(G1048,2)=LEFT('112'!$M$9,2),B1048&lt;'112'!$N$8,$L1048='112'!$I$6)),"x",""))</f>
        <v/>
      </c>
      <c r="T1048" s="55" t="str">
        <f>IF(ISERROR(FIND('112'!$M$9,G1048,1)),"",IF((AND(RIGHT(G1048,2)=RIGHT('112'!$M$9,2),B1048&lt;'112'!$N$8,$M1048='112'!$I$6)),"x",""))</f>
        <v/>
      </c>
      <c r="U1048" s="55" t="str">
        <f>IF(AND('3411-CT'!$F$9=H1048,OR(LEFT(L1048,3)=$U$7,LEFT(M1048,3)=$U$7)),"x","")</f>
        <v/>
      </c>
      <c r="V1048" s="55" t="str">
        <f>IF(OR(TH!L1048=TH!$V$7,M1048=TH!$V$7),"x","")</f>
        <v/>
      </c>
      <c r="W1048" s="55" t="str">
        <f>IF(AND(OR(L1048="131",M1048="131"),H1048='131-CT'!$E$7),"x","")</f>
        <v/>
      </c>
      <c r="X1048" s="55" t="str">
        <f>IF(AND(B1048&gt;='IN-NX'!$P$3,B1048&lt;='IN-NX'!$Q$3,'IN-NX'!$D$7=D1048,OR(LEFT(TH!L1048,2)="15",LEFT(TH!M1048,2)="15")),"x","")</f>
        <v/>
      </c>
      <c r="Y1048" s="55" t="str">
        <f>IF(AND(OR(LEFT(TH!L1048,2)="15",LEFT(TH!M1048,2)="15"),'152-CT'!$J$8=TH!F1048),"x","")</f>
        <v/>
      </c>
      <c r="Z1048" s="55" t="str">
        <f>IF(AND(OR(LEFT(TH!L1048,2)="15",LEFT(TH!M1048,2)="15"),TK!$E$7=TH!F1048),"x","")</f>
        <v/>
      </c>
      <c r="AA1048" s="55" t="str">
        <f>IF(AND(B1048&lt;=NKC!$N$8,B1048&gt;=NKC!$M$8),"x","")</f>
        <v>x</v>
      </c>
    </row>
    <row r="1049" spans="1:29" ht="15.75" customHeight="1">
      <c r="A1049" s="219" t="str">
        <f>IF(B1049&lt;&gt;"",IF(AND(B1049&gt;=_TM1,B1049&lt;=_TM2,OR(TH!L1049="1111",TH!M1049="1111")),TH!D1049,""),"")</f>
        <v/>
      </c>
      <c r="B1049" s="36">
        <f t="shared" si="45"/>
        <v>4</v>
      </c>
      <c r="C1049" s="205">
        <f t="shared" si="44"/>
        <v>41003</v>
      </c>
      <c r="D1049" s="897"/>
      <c r="E1049" s="902">
        <v>41003</v>
      </c>
      <c r="F1049" s="206" t="s">
        <v>1185</v>
      </c>
      <c r="G1049" s="901" t="s">
        <v>1248</v>
      </c>
      <c r="H1049" s="207" t="s">
        <v>1148</v>
      </c>
      <c r="I1049" s="899"/>
      <c r="J1049" s="899"/>
      <c r="K1049" s="698">
        <v>695700</v>
      </c>
      <c r="L1049" s="208" t="s">
        <v>49</v>
      </c>
      <c r="M1049" s="208" t="s">
        <v>549</v>
      </c>
      <c r="N1049" s="55" t="str">
        <f>IF(AND('331-CT'!$E$7=TH!H1049,OR(L1049="331",M1049="331")),"x","")</f>
        <v/>
      </c>
      <c r="O1049" s="55" t="str">
        <f>IF(AND($B1049&gt;='111'!$N$11,$B1049&lt;='111'!$O$11,OR($L1049=$O$7,$M1049=$O$7)),"x","")</f>
        <v/>
      </c>
      <c r="P1049" s="55" t="str">
        <f>IF(AND($L1049=$O$7,$B1049&lt;'111'!$N$11),"x","")</f>
        <v>x</v>
      </c>
      <c r="Q1049" s="55" t="str">
        <f>IF(AND($M1049=$O$7,$B1049&lt;'111'!$N$11),"x","")</f>
        <v/>
      </c>
      <c r="R1049" s="55" t="str">
        <f>IF(ISERROR(FIND('112'!$M$9,G1049,1)),"",IF((AND(FIND('112'!$M$9,G1049,1)&gt;=1,$B1049&gt;='112'!$N$8,$B1049&lt;='112'!$O$8,OR($L1049='112'!$I$6,$M1049='112'!$I$6))),"x",""))</f>
        <v/>
      </c>
      <c r="S1049" s="55" t="str">
        <f>IF(ISERROR(FIND('112'!$M$9,G1049,1)),"",IF((AND(LEFT(G1049,2)=LEFT('112'!$M$9,2),B1049&lt;'112'!$N$8,$L1049='112'!$I$6)),"x",""))</f>
        <v/>
      </c>
      <c r="T1049" s="55" t="str">
        <f>IF(ISERROR(FIND('112'!$M$9,G1049,1)),"",IF((AND(RIGHT(G1049,2)=RIGHT('112'!$M$9,2),B1049&lt;'112'!$N$8,$M1049='112'!$I$6)),"x",""))</f>
        <v/>
      </c>
      <c r="U1049" s="55" t="str">
        <f>IF(AND('3411-CT'!$F$9=H1049,OR(LEFT(L1049,3)=$U$7,LEFT(M1049,3)=$U$7)),"x","")</f>
        <v/>
      </c>
      <c r="V1049" s="55" t="str">
        <f>IF(OR(TH!L1049=TH!$V$7,M1049=TH!$V$7),"x","")</f>
        <v/>
      </c>
      <c r="W1049" s="55" t="str">
        <f>IF(AND(OR(L1049="131",M1049="131"),H1049='131-CT'!$E$7),"x","")</f>
        <v/>
      </c>
      <c r="X1049" s="55" t="str">
        <f>IF(AND(B1049&gt;='IN-NX'!$P$3,B1049&lt;='IN-NX'!$Q$3,'IN-NX'!$D$7=D1049,OR(LEFT(TH!L1049,2)="15",LEFT(TH!M1049,2)="15")),"x","")</f>
        <v/>
      </c>
      <c r="Y1049" s="55" t="str">
        <f>IF(AND(OR(LEFT(TH!L1049,2)="15",LEFT(TH!M1049,2)="15"),'152-CT'!$J$8=TH!F1049),"x","")</f>
        <v/>
      </c>
      <c r="Z1049" s="55" t="str">
        <f>IF(AND(OR(LEFT(TH!L1049,2)="15",LEFT(TH!M1049,2)="15"),TK!$E$7=TH!F1049),"x","")</f>
        <v/>
      </c>
      <c r="AA1049" s="55" t="str">
        <f>IF(AND(B1049&lt;=NKC!$N$8,B1049&gt;=NKC!$M$8),"x","")</f>
        <v>x</v>
      </c>
      <c r="AC1049" s="226"/>
    </row>
    <row r="1050" spans="1:29" ht="15.75" customHeight="1">
      <c r="A1050" s="219" t="str">
        <f>IF(B1050&lt;&gt;"",IF(AND(B1050&gt;=_TM1,B1050&lt;=_TM2,OR(TH!L1050="1111",TH!M1050="1111")),TH!D1050,""),"")</f>
        <v/>
      </c>
      <c r="B1050" s="36">
        <f t="shared" si="45"/>
        <v>4</v>
      </c>
      <c r="C1050" s="205">
        <f t="shared" si="44"/>
        <v>41003</v>
      </c>
      <c r="D1050" s="897"/>
      <c r="E1050" s="902">
        <v>41003</v>
      </c>
      <c r="F1050" s="900" t="s">
        <v>1250</v>
      </c>
      <c r="G1050" s="901" t="s">
        <v>1251</v>
      </c>
      <c r="H1050" s="7" t="s">
        <v>1132</v>
      </c>
      <c r="I1050" s="903">
        <v>507</v>
      </c>
      <c r="J1050" s="903">
        <v>7432</v>
      </c>
      <c r="K1050" s="698">
        <v>3768024</v>
      </c>
      <c r="L1050" s="208" t="s">
        <v>311</v>
      </c>
      <c r="M1050" s="208" t="s">
        <v>208</v>
      </c>
      <c r="N1050" s="55" t="str">
        <f>IF(AND('331-CT'!$E$7=TH!H1050,OR(L1050="331",M1050="331")),"x","")</f>
        <v/>
      </c>
      <c r="O1050" s="55" t="str">
        <f>IF(AND($B1050&gt;='111'!$N$11,$B1050&lt;='111'!$O$11,OR($L1050=$O$7,$M1050=$O$7)),"x","")</f>
        <v/>
      </c>
      <c r="P1050" s="55" t="str">
        <f>IF(AND($L1050=$O$7,$B1050&lt;'111'!$N$11),"x","")</f>
        <v/>
      </c>
      <c r="Q1050" s="55" t="str">
        <f>IF(AND($M1050=$O$7,$B1050&lt;'111'!$N$11),"x","")</f>
        <v/>
      </c>
      <c r="R1050" s="55" t="str">
        <f>IF(ISERROR(FIND('112'!$M$9,G1050,1)),"",IF((AND(FIND('112'!$M$9,G1050,1)&gt;=1,$B1050&gt;='112'!$N$8,$B1050&lt;='112'!$O$8,OR($L1050='112'!$I$6,$M1050='112'!$I$6))),"x",""))</f>
        <v/>
      </c>
      <c r="S1050" s="55" t="str">
        <f>IF(ISERROR(FIND('112'!$M$9,G1050,1)),"",IF((AND(LEFT(G1050,2)=LEFT('112'!$M$9,2),B1050&lt;'112'!$N$8,$L1050='112'!$I$6)),"x",""))</f>
        <v/>
      </c>
      <c r="T1050" s="55" t="str">
        <f>IF(ISERROR(FIND('112'!$M$9,G1050,1)),"",IF((AND(RIGHT(G1050,2)=RIGHT('112'!$M$9,2),B1050&lt;'112'!$N$8,$M1050='112'!$I$6)),"x",""))</f>
        <v/>
      </c>
      <c r="U1050" s="55" t="str">
        <f>IF(AND('3411-CT'!$F$9=H1050,OR(LEFT(L1050,3)=$U$7,LEFT(M1050,3)=$U$7)),"x","")</f>
        <v/>
      </c>
      <c r="V1050" s="55" t="str">
        <f>IF(OR(TH!L1050=TH!$V$7,M1050=TH!$V$7),"x","")</f>
        <v/>
      </c>
      <c r="W1050" s="55" t="str">
        <f>IF(AND(OR(L1050="131",M1050="131"),H1050='131-CT'!$E$7),"x","")</f>
        <v/>
      </c>
      <c r="X1050" s="55" t="str">
        <f>IF(AND(B1050&gt;='IN-NX'!$P$3,B1050&lt;='IN-NX'!$Q$3,'IN-NX'!$D$7=D1050,OR(LEFT(TH!L1050,2)="15",LEFT(TH!M1050,2)="15")),"x","")</f>
        <v/>
      </c>
      <c r="Y1050" s="55" t="str">
        <f>IF(AND(OR(LEFT(TH!L1050,2)="15",LEFT(TH!M1050,2)="15"),'152-CT'!$J$8=TH!F1050),"x","")</f>
        <v/>
      </c>
      <c r="Z1050" s="55" t="str">
        <f>IF(AND(OR(LEFT(TH!L1050,2)="15",LEFT(TH!M1050,2)="15"),TK!$E$7=TH!F1050),"x","")</f>
        <v/>
      </c>
      <c r="AA1050" s="55" t="str">
        <f>IF(AND(B1050&lt;=NKC!$N$8,B1050&gt;=NKC!$M$8),"x","")</f>
        <v>x</v>
      </c>
    </row>
    <row r="1051" spans="1:29" ht="15.75" customHeight="1">
      <c r="A1051" s="219" t="str">
        <f>IF(B1051&lt;&gt;"",IF(AND(B1051&gt;=_TM1,B1051&lt;=_TM2,OR(TH!L1051="1111",TH!M1051="1111")),TH!D1051,""),"")</f>
        <v/>
      </c>
      <c r="B1051" s="36">
        <f t="shared" si="45"/>
        <v>4</v>
      </c>
      <c r="C1051" s="205">
        <f t="shared" si="44"/>
        <v>41003</v>
      </c>
      <c r="D1051" s="904"/>
      <c r="E1051" s="902">
        <v>41003</v>
      </c>
      <c r="F1051" s="206" t="s">
        <v>1185</v>
      </c>
      <c r="G1051" s="901" t="s">
        <v>1251</v>
      </c>
      <c r="H1051" s="7" t="s">
        <v>1132</v>
      </c>
      <c r="I1051" s="277"/>
      <c r="J1051" s="277"/>
      <c r="K1051" s="698">
        <v>376802</v>
      </c>
      <c r="L1051" s="208" t="s">
        <v>311</v>
      </c>
      <c r="M1051" s="208" t="s">
        <v>549</v>
      </c>
      <c r="N1051" s="55" t="str">
        <f>IF(AND('331-CT'!$E$7=TH!H1051,OR(L1051="331",M1051="331")),"x","")</f>
        <v/>
      </c>
      <c r="O1051" s="55" t="str">
        <f>IF(AND($B1051&gt;='111'!$N$11,$B1051&lt;='111'!$O$11,OR($L1051=$O$7,$M1051=$O$7)),"x","")</f>
        <v/>
      </c>
      <c r="P1051" s="55" t="str">
        <f>IF(AND($L1051=$O$7,$B1051&lt;'111'!$N$11),"x","")</f>
        <v/>
      </c>
      <c r="Q1051" s="55" t="str">
        <f>IF(AND($M1051=$O$7,$B1051&lt;'111'!$N$11),"x","")</f>
        <v/>
      </c>
      <c r="R1051" s="55" t="str">
        <f>IF(ISERROR(FIND('112'!$M$9,G1051,1)),"",IF((AND(FIND('112'!$M$9,G1051,1)&gt;=1,$B1051&gt;='112'!$N$8,$B1051&lt;='112'!$O$8,OR($L1051='112'!$I$6,$M1051='112'!$I$6))),"x",""))</f>
        <v/>
      </c>
      <c r="S1051" s="55" t="str">
        <f>IF(ISERROR(FIND('112'!$M$9,G1051,1)),"",IF((AND(LEFT(G1051,2)=LEFT('112'!$M$9,2),B1051&lt;'112'!$N$8,$L1051='112'!$I$6)),"x",""))</f>
        <v/>
      </c>
      <c r="T1051" s="55" t="str">
        <f>IF(ISERROR(FIND('112'!$M$9,G1051,1)),"",IF((AND(RIGHT(G1051,2)=RIGHT('112'!$M$9,2),B1051&lt;'112'!$N$8,$M1051='112'!$I$6)),"x",""))</f>
        <v/>
      </c>
      <c r="U1051" s="55" t="str">
        <f>IF(AND('3411-CT'!$F$9=H1051,OR(LEFT(L1051,3)=$U$7,LEFT(M1051,3)=$U$7)),"x","")</f>
        <v/>
      </c>
      <c r="V1051" s="55" t="str">
        <f>IF(OR(TH!L1051=TH!$V$7,M1051=TH!$V$7),"x","")</f>
        <v/>
      </c>
      <c r="W1051" s="55" t="str">
        <f>IF(AND(OR(L1051="131",M1051="131"),H1051='131-CT'!$E$7),"x","")</f>
        <v/>
      </c>
      <c r="X1051" s="55" t="str">
        <f>IF(AND(B1051&gt;='IN-NX'!$P$3,B1051&lt;='IN-NX'!$Q$3,'IN-NX'!$D$7=D1051,OR(LEFT(TH!L1051,2)="15",LEFT(TH!M1051,2)="15")),"x","")</f>
        <v/>
      </c>
      <c r="Y1051" s="55" t="str">
        <f>IF(AND(OR(LEFT(TH!L1051,2)="15",LEFT(TH!M1051,2)="15"),'152-CT'!$J$8=TH!F1051),"x","")</f>
        <v/>
      </c>
      <c r="Z1051" s="55" t="str">
        <f>IF(AND(OR(LEFT(TH!L1051,2)="15",LEFT(TH!M1051,2)="15"),TK!$E$7=TH!F1051),"x","")</f>
        <v/>
      </c>
      <c r="AA1051" s="55" t="str">
        <f>IF(AND(B1051&lt;=NKC!$N$8,B1051&gt;=NKC!$M$8),"x","")</f>
        <v>x</v>
      </c>
      <c r="AC1051" s="226"/>
    </row>
    <row r="1052" spans="1:29" ht="15.75" customHeight="1">
      <c r="A1052" s="219" t="str">
        <f>IF(B1052&lt;&gt;"",IF(AND(B1052&gt;=_TM1,B1052&lt;=_TM2,OR(TH!L1052="1111",TH!M1052="1111")),TH!D1052,""),"")</f>
        <v/>
      </c>
      <c r="B1052" s="36">
        <f t="shared" si="45"/>
        <v>4</v>
      </c>
      <c r="C1052" s="205">
        <f t="shared" si="44"/>
        <v>41004</v>
      </c>
      <c r="D1052" s="904"/>
      <c r="E1052" s="902">
        <v>41004</v>
      </c>
      <c r="F1052" s="900" t="s">
        <v>1252</v>
      </c>
      <c r="G1052" s="901" t="s">
        <v>1253</v>
      </c>
      <c r="H1052" s="7" t="s">
        <v>1131</v>
      </c>
      <c r="I1052" s="277">
        <v>1488</v>
      </c>
      <c r="J1052" s="277">
        <v>10900</v>
      </c>
      <c r="K1052" s="698">
        <f t="shared" si="46"/>
        <v>16219200</v>
      </c>
      <c r="L1052" s="208" t="s">
        <v>311</v>
      </c>
      <c r="M1052" s="208" t="s">
        <v>208</v>
      </c>
      <c r="N1052" s="55" t="str">
        <f>IF(AND('331-CT'!$E$7=TH!H1052,OR(L1052="331",M1052="331")),"x","")</f>
        <v/>
      </c>
      <c r="O1052" s="55" t="str">
        <f>IF(AND($B1052&gt;='111'!$N$11,$B1052&lt;='111'!$O$11,OR($L1052=$O$7,$M1052=$O$7)),"x","")</f>
        <v/>
      </c>
      <c r="P1052" s="55" t="str">
        <f>IF(AND($L1052=$O$7,$B1052&lt;'111'!$N$11),"x","")</f>
        <v/>
      </c>
      <c r="Q1052" s="55" t="str">
        <f>IF(AND($M1052=$O$7,$B1052&lt;'111'!$N$11),"x","")</f>
        <v/>
      </c>
      <c r="R1052" s="55" t="str">
        <f>IF(ISERROR(FIND('112'!$M$9,G1052,1)),"",IF((AND(FIND('112'!$M$9,G1052,1)&gt;=1,$B1052&gt;='112'!$N$8,$B1052&lt;='112'!$O$8,OR($L1052='112'!$I$6,$M1052='112'!$I$6))),"x",""))</f>
        <v/>
      </c>
      <c r="S1052" s="55" t="str">
        <f>IF(ISERROR(FIND('112'!$M$9,G1052,1)),"",IF((AND(LEFT(G1052,2)=LEFT('112'!$M$9,2),B1052&lt;'112'!$N$8,$L1052='112'!$I$6)),"x",""))</f>
        <v/>
      </c>
      <c r="T1052" s="55" t="str">
        <f>IF(ISERROR(FIND('112'!$M$9,G1052,1)),"",IF((AND(RIGHT(G1052,2)=RIGHT('112'!$M$9,2),B1052&lt;'112'!$N$8,$M1052='112'!$I$6)),"x",""))</f>
        <v/>
      </c>
      <c r="U1052" s="55" t="str">
        <f>IF(AND('3411-CT'!$F$9=H1052,OR(LEFT(L1052,3)=$U$7,LEFT(M1052,3)=$U$7)),"x","")</f>
        <v/>
      </c>
      <c r="V1052" s="55" t="str">
        <f>IF(OR(TH!L1052=TH!$V$7,M1052=TH!$V$7),"x","")</f>
        <v/>
      </c>
      <c r="W1052" s="55" t="str">
        <f>IF(AND(OR(L1052="131",M1052="131"),H1052='131-CT'!$E$7),"x","")</f>
        <v/>
      </c>
      <c r="X1052" s="55" t="str">
        <f>IF(AND(B1052&gt;='IN-NX'!$P$3,B1052&lt;='IN-NX'!$Q$3,'IN-NX'!$D$7=D1052,OR(LEFT(TH!L1052,2)="15",LEFT(TH!M1052,2)="15")),"x","")</f>
        <v/>
      </c>
      <c r="Y1052" s="55" t="str">
        <f>IF(AND(OR(LEFT(TH!L1052,2)="15",LEFT(TH!M1052,2)="15"),'152-CT'!$J$8=TH!F1052),"x","")</f>
        <v/>
      </c>
      <c r="Z1052" s="55" t="str">
        <f>IF(AND(OR(LEFT(TH!L1052,2)="15",LEFT(TH!M1052,2)="15"),TK!$E$7=TH!F1052),"x","")</f>
        <v/>
      </c>
      <c r="AA1052" s="55" t="str">
        <f>IF(AND(B1052&lt;=NKC!$N$8,B1052&gt;=NKC!$M$8),"x","")</f>
        <v>x</v>
      </c>
    </row>
    <row r="1053" spans="1:29" ht="15.75" customHeight="1">
      <c r="A1053" s="219" t="str">
        <f>IF(B1053&lt;&gt;"",IF(AND(B1053&gt;=_TM1,B1053&lt;=_TM2,OR(TH!L1053="1111",TH!M1053="1111")),TH!D1053,""),"")</f>
        <v/>
      </c>
      <c r="B1053" s="36">
        <f t="shared" si="45"/>
        <v>4</v>
      </c>
      <c r="C1053" s="205">
        <f t="shared" si="44"/>
        <v>41004</v>
      </c>
      <c r="D1053" s="904"/>
      <c r="E1053" s="902">
        <v>41004</v>
      </c>
      <c r="F1053" s="206" t="s">
        <v>1185</v>
      </c>
      <c r="G1053" s="901" t="s">
        <v>1253</v>
      </c>
      <c r="H1053" s="7" t="s">
        <v>1131</v>
      </c>
      <c r="I1053" s="277"/>
      <c r="J1053" s="277"/>
      <c r="K1053" s="698">
        <v>1621920</v>
      </c>
      <c r="L1053" s="208" t="s">
        <v>311</v>
      </c>
      <c r="M1053" s="208" t="s">
        <v>549</v>
      </c>
      <c r="N1053" s="55" t="str">
        <f>IF(AND('331-CT'!$E$7=TH!H1053,OR(L1053="331",M1053="331")),"x","")</f>
        <v/>
      </c>
      <c r="O1053" s="55" t="str">
        <f>IF(AND($B1053&gt;='111'!$N$11,$B1053&lt;='111'!$O$11,OR($L1053=$O$7,$M1053=$O$7)),"x","")</f>
        <v/>
      </c>
      <c r="P1053" s="55" t="str">
        <f>IF(AND($L1053=$O$7,$B1053&lt;'111'!$N$11),"x","")</f>
        <v/>
      </c>
      <c r="Q1053" s="55" t="str">
        <f>IF(AND($M1053=$O$7,$B1053&lt;'111'!$N$11),"x","")</f>
        <v/>
      </c>
      <c r="R1053" s="55" t="str">
        <f>IF(ISERROR(FIND('112'!$M$9,G1053,1)),"",IF((AND(FIND('112'!$M$9,G1053,1)&gt;=1,$B1053&gt;='112'!$N$8,$B1053&lt;='112'!$O$8,OR($L1053='112'!$I$6,$M1053='112'!$I$6))),"x",""))</f>
        <v/>
      </c>
      <c r="S1053" s="55" t="str">
        <f>IF(ISERROR(FIND('112'!$M$9,G1053,1)),"",IF((AND(LEFT(G1053,2)=LEFT('112'!$M$9,2),B1053&lt;'112'!$N$8,$L1053='112'!$I$6)),"x",""))</f>
        <v/>
      </c>
      <c r="T1053" s="55" t="str">
        <f>IF(ISERROR(FIND('112'!$M$9,G1053,1)),"",IF((AND(RIGHT(G1053,2)=RIGHT('112'!$M$9,2),B1053&lt;'112'!$N$8,$M1053='112'!$I$6)),"x",""))</f>
        <v/>
      </c>
      <c r="U1053" s="55" t="str">
        <f>IF(AND('3411-CT'!$F$9=H1053,OR(LEFT(L1053,3)=$U$7,LEFT(M1053,3)=$U$7)),"x","")</f>
        <v/>
      </c>
      <c r="V1053" s="55" t="str">
        <f>IF(OR(TH!L1053=TH!$V$7,M1053=TH!$V$7),"x","")</f>
        <v/>
      </c>
      <c r="W1053" s="55" t="str">
        <f>IF(AND(OR(L1053="131",M1053="131"),H1053='131-CT'!$E$7),"x","")</f>
        <v/>
      </c>
      <c r="X1053" s="55" t="str">
        <f>IF(AND(B1053&gt;='IN-NX'!$P$3,B1053&lt;='IN-NX'!$Q$3,'IN-NX'!$D$7=D1053,OR(LEFT(TH!L1053,2)="15",LEFT(TH!M1053,2)="15")),"x","")</f>
        <v/>
      </c>
      <c r="Y1053" s="55" t="str">
        <f>IF(AND(OR(LEFT(TH!L1053,2)="15",LEFT(TH!M1053,2)="15"),'152-CT'!$J$8=TH!F1053),"x","")</f>
        <v/>
      </c>
      <c r="Z1053" s="55" t="str">
        <f>IF(AND(OR(LEFT(TH!L1053,2)="15",LEFT(TH!M1053,2)="15"),TK!$E$7=TH!F1053),"x","")</f>
        <v/>
      </c>
      <c r="AA1053" s="55" t="str">
        <f>IF(AND(B1053&lt;=NKC!$N$8,B1053&gt;=NKC!$M$8),"x","")</f>
        <v>x</v>
      </c>
      <c r="AC1053" s="226"/>
    </row>
    <row r="1054" spans="1:29" ht="15.75" customHeight="1">
      <c r="A1054" s="219" t="str">
        <f>IF(B1054&lt;&gt;"",IF(AND(B1054&gt;=_TM1,B1054&lt;=_TM2,OR(TH!L1054="1111",TH!M1054="1111")),TH!D1054,""),"")</f>
        <v/>
      </c>
      <c r="B1054" s="36">
        <f t="shared" si="45"/>
        <v>4</v>
      </c>
      <c r="C1054" s="205">
        <f t="shared" si="44"/>
        <v>41009</v>
      </c>
      <c r="D1054" s="904"/>
      <c r="E1054" s="902">
        <v>41009</v>
      </c>
      <c r="F1054" s="900" t="s">
        <v>1254</v>
      </c>
      <c r="G1054" s="577" t="s">
        <v>1255</v>
      </c>
      <c r="H1054" s="207" t="s">
        <v>1256</v>
      </c>
      <c r="I1054" s="277">
        <v>420</v>
      </c>
      <c r="J1054" s="277">
        <v>8000</v>
      </c>
      <c r="K1054" s="698">
        <f t="shared" si="46"/>
        <v>3360000</v>
      </c>
      <c r="L1054" s="208" t="s">
        <v>49</v>
      </c>
      <c r="M1054" s="208" t="s">
        <v>208</v>
      </c>
      <c r="N1054" s="55" t="str">
        <f>IF(AND('331-CT'!$E$7=TH!H1054,OR(L1054="331",M1054="331")),"x","")</f>
        <v/>
      </c>
      <c r="O1054" s="55" t="str">
        <f>IF(AND($B1054&gt;='111'!$N$11,$B1054&lt;='111'!$O$11,OR($L1054=$O$7,$M1054=$O$7)),"x","")</f>
        <v/>
      </c>
      <c r="P1054" s="55" t="str">
        <f>IF(AND($L1054=$O$7,$B1054&lt;'111'!$N$11),"x","")</f>
        <v>x</v>
      </c>
      <c r="Q1054" s="55" t="str">
        <f>IF(AND($M1054=$O$7,$B1054&lt;'111'!$N$11),"x","")</f>
        <v/>
      </c>
      <c r="R1054" s="55" t="str">
        <f>IF(ISERROR(FIND('112'!$M$9,G1054,1)),"",IF((AND(FIND('112'!$M$9,G1054,1)&gt;=1,$B1054&gt;='112'!$N$8,$B1054&lt;='112'!$O$8,OR($L1054='112'!$I$6,$M1054='112'!$I$6))),"x",""))</f>
        <v/>
      </c>
      <c r="S1054" s="55" t="str">
        <f>IF(ISERROR(FIND('112'!$M$9,G1054,1)),"",IF((AND(LEFT(G1054,2)=LEFT('112'!$M$9,2),B1054&lt;'112'!$N$8,$L1054='112'!$I$6)),"x",""))</f>
        <v/>
      </c>
      <c r="T1054" s="55" t="str">
        <f>IF(ISERROR(FIND('112'!$M$9,G1054,1)),"",IF((AND(RIGHT(G1054,2)=RIGHT('112'!$M$9,2),B1054&lt;'112'!$N$8,$M1054='112'!$I$6)),"x",""))</f>
        <v/>
      </c>
      <c r="U1054" s="55" t="str">
        <f>IF(AND('3411-CT'!$F$9=H1054,OR(LEFT(L1054,3)=$U$7,LEFT(M1054,3)=$U$7)),"x","")</f>
        <v/>
      </c>
      <c r="V1054" s="55" t="str">
        <f>IF(OR(TH!L1054=TH!$V$7,M1054=TH!$V$7),"x","")</f>
        <v/>
      </c>
      <c r="W1054" s="55" t="str">
        <f>IF(AND(OR(L1054="131",M1054="131"),H1054='131-CT'!$E$7),"x","")</f>
        <v/>
      </c>
      <c r="X1054" s="55" t="str">
        <f>IF(AND(B1054&gt;='IN-NX'!$P$3,B1054&lt;='IN-NX'!$Q$3,'IN-NX'!$D$7=D1054,OR(LEFT(TH!L1054,2)="15",LEFT(TH!M1054,2)="15")),"x","")</f>
        <v/>
      </c>
      <c r="Y1054" s="55" t="str">
        <f>IF(AND(OR(LEFT(TH!L1054,2)="15",LEFT(TH!M1054,2)="15"),'152-CT'!$J$8=TH!F1054),"x","")</f>
        <v/>
      </c>
      <c r="Z1054" s="55" t="str">
        <f>IF(AND(OR(LEFT(TH!L1054,2)="15",LEFT(TH!M1054,2)="15"),TK!$E$7=TH!F1054),"x","")</f>
        <v/>
      </c>
      <c r="AA1054" s="55" t="str">
        <f>IF(AND(B1054&lt;=NKC!$N$8,B1054&gt;=NKC!$M$8),"x","")</f>
        <v>x</v>
      </c>
    </row>
    <row r="1055" spans="1:29" ht="15.75" customHeight="1">
      <c r="A1055" s="219" t="str">
        <f>IF(B1055&lt;&gt;"",IF(AND(B1055&gt;=_TM1,B1055&lt;=_TM2,OR(TH!L1055="1111",TH!M1055="1111")),TH!D1055,""),"")</f>
        <v/>
      </c>
      <c r="B1055" s="36">
        <f t="shared" si="45"/>
        <v>4</v>
      </c>
      <c r="C1055" s="205">
        <f t="shared" si="44"/>
        <v>41009</v>
      </c>
      <c r="D1055" s="904"/>
      <c r="E1055" s="902">
        <v>41009</v>
      </c>
      <c r="F1055" s="900" t="s">
        <v>1257</v>
      </c>
      <c r="G1055" s="577" t="s">
        <v>1255</v>
      </c>
      <c r="H1055" s="207" t="s">
        <v>1256</v>
      </c>
      <c r="I1055" s="277">
        <v>412</v>
      </c>
      <c r="J1055" s="277">
        <v>8360</v>
      </c>
      <c r="K1055" s="698">
        <f t="shared" si="46"/>
        <v>3444320</v>
      </c>
      <c r="L1055" s="208" t="s">
        <v>49</v>
      </c>
      <c r="M1055" s="208" t="s">
        <v>208</v>
      </c>
      <c r="N1055" s="55" t="str">
        <f>IF(AND('331-CT'!$E$7=TH!H1055,OR(L1055="331",M1055="331")),"x","")</f>
        <v/>
      </c>
      <c r="O1055" s="55" t="str">
        <f>IF(AND($B1055&gt;='111'!$N$11,$B1055&lt;='111'!$O$11,OR($L1055=$O$7,$M1055=$O$7)),"x","")</f>
        <v/>
      </c>
      <c r="P1055" s="55" t="str">
        <f>IF(AND($L1055=$O$7,$B1055&lt;'111'!$N$11),"x","")</f>
        <v>x</v>
      </c>
      <c r="Q1055" s="55" t="str">
        <f>IF(AND($M1055=$O$7,$B1055&lt;'111'!$N$11),"x","")</f>
        <v/>
      </c>
      <c r="R1055" s="55" t="str">
        <f>IF(ISERROR(FIND('112'!$M$9,G1055,1)),"",IF((AND(FIND('112'!$M$9,G1055,1)&gt;=1,$B1055&gt;='112'!$N$8,$B1055&lt;='112'!$O$8,OR($L1055='112'!$I$6,$M1055='112'!$I$6))),"x",""))</f>
        <v/>
      </c>
      <c r="S1055" s="55" t="str">
        <f>IF(ISERROR(FIND('112'!$M$9,G1055,1)),"",IF((AND(LEFT(G1055,2)=LEFT('112'!$M$9,2),B1055&lt;'112'!$N$8,$L1055='112'!$I$6)),"x",""))</f>
        <v/>
      </c>
      <c r="T1055" s="55" t="str">
        <f>IF(ISERROR(FIND('112'!$M$9,G1055,1)),"",IF((AND(RIGHT(G1055,2)=RIGHT('112'!$M$9,2),B1055&lt;'112'!$N$8,$M1055='112'!$I$6)),"x",""))</f>
        <v/>
      </c>
      <c r="U1055" s="55" t="str">
        <f>IF(AND('3411-CT'!$F$9=H1055,OR(LEFT(L1055,3)=$U$7,LEFT(M1055,3)=$U$7)),"x","")</f>
        <v/>
      </c>
      <c r="V1055" s="55" t="str">
        <f>IF(OR(TH!L1055=TH!$V$7,M1055=TH!$V$7),"x","")</f>
        <v/>
      </c>
      <c r="W1055" s="55" t="str">
        <f>IF(AND(OR(L1055="131",M1055="131"),H1055='131-CT'!$E$7),"x","")</f>
        <v/>
      </c>
      <c r="X1055" s="55" t="str">
        <f>IF(AND(B1055&gt;='IN-NX'!$P$3,B1055&lt;='IN-NX'!$Q$3,'IN-NX'!$D$7=D1055,OR(LEFT(TH!L1055,2)="15",LEFT(TH!M1055,2)="15")),"x","")</f>
        <v/>
      </c>
      <c r="Y1055" s="55" t="str">
        <f>IF(AND(OR(LEFT(TH!L1055,2)="15",LEFT(TH!M1055,2)="15"),'152-CT'!$J$8=TH!F1055),"x","")</f>
        <v/>
      </c>
      <c r="Z1055" s="55" t="str">
        <f>IF(AND(OR(LEFT(TH!L1055,2)="15",LEFT(TH!M1055,2)="15"),TK!$E$7=TH!F1055),"x","")</f>
        <v/>
      </c>
      <c r="AA1055" s="55" t="str">
        <f>IF(AND(B1055&lt;=NKC!$N$8,B1055&gt;=NKC!$M$8),"x","")</f>
        <v>x</v>
      </c>
    </row>
    <row r="1056" spans="1:29" s="226" customFormat="1" ht="15.75" customHeight="1">
      <c r="A1056" s="219" t="str">
        <f>IF(B1056&lt;&gt;"",IF(AND(B1056&gt;=_TM1,B1056&lt;=_TM2,OR(TH!L1056="1111",TH!M1056="1111")),TH!D1056,""),"")</f>
        <v/>
      </c>
      <c r="B1056" s="36">
        <f t="shared" si="39"/>
        <v>4</v>
      </c>
      <c r="C1056" s="205">
        <f t="shared" si="44"/>
        <v>41009</v>
      </c>
      <c r="D1056" s="904"/>
      <c r="E1056" s="902">
        <v>41009</v>
      </c>
      <c r="F1056" s="206" t="s">
        <v>1185</v>
      </c>
      <c r="G1056" s="577" t="s">
        <v>1255</v>
      </c>
      <c r="H1056" s="207" t="s">
        <v>1256</v>
      </c>
      <c r="I1056" s="277"/>
      <c r="J1056" s="277"/>
      <c r="K1056" s="698">
        <v>680432</v>
      </c>
      <c r="L1056" s="208" t="s">
        <v>49</v>
      </c>
      <c r="M1056" s="208" t="s">
        <v>549</v>
      </c>
      <c r="N1056" s="55" t="str">
        <f>IF(AND('331-CT'!$E$7=TH!H1056,OR(L1056="331",M1056="331")),"x","")</f>
        <v/>
      </c>
      <c r="O1056" s="55" t="str">
        <f>IF(AND($B1056&gt;='111'!$N$11,$B1056&lt;='111'!$O$11,OR($L1056=$O$7,$M1056=$O$7)),"x","")</f>
        <v/>
      </c>
      <c r="P1056" s="55" t="str">
        <f>IF(AND($L1056=$O$7,$B1056&lt;'111'!$N$11),"x","")</f>
        <v>x</v>
      </c>
      <c r="Q1056" s="55" t="str">
        <f>IF(AND($M1056=$O$7,$B1056&lt;'111'!$N$11),"x","")</f>
        <v/>
      </c>
      <c r="R1056" s="55" t="str">
        <f>IF(ISERROR(FIND('112'!$M$9,G1056,1)),"",IF((AND(FIND('112'!$M$9,G1056,1)&gt;=1,$B1056&gt;='112'!$N$8,$B1056&lt;='112'!$O$8,OR($L1056='112'!$I$6,$M1056='112'!$I$6))),"x",""))</f>
        <v/>
      </c>
      <c r="S1056" s="55" t="str">
        <f>IF(ISERROR(FIND('112'!$M$9,G1056,1)),"",IF((AND(LEFT(G1056,2)=LEFT('112'!$M$9,2),B1056&lt;'112'!$N$8,$L1056='112'!$I$6)),"x",""))</f>
        <v/>
      </c>
      <c r="T1056" s="55" t="str">
        <f>IF(ISERROR(FIND('112'!$M$9,G1056,1)),"",IF((AND(RIGHT(G1056,2)=RIGHT('112'!$M$9,2),B1056&lt;'112'!$N$8,$M1056='112'!$I$6)),"x",""))</f>
        <v/>
      </c>
      <c r="U1056" s="55" t="str">
        <f>IF(AND('3411-CT'!$F$9=H1056,OR(LEFT(L1056,3)=$U$7,LEFT(M1056,3)=$U$7)),"x","")</f>
        <v/>
      </c>
      <c r="V1056" s="55" t="str">
        <f>IF(OR(TH!L1056=TH!$V$7,M1056=TH!$V$7),"x","")</f>
        <v/>
      </c>
      <c r="W1056" s="55" t="str">
        <f>IF(AND(OR(L1056="131",M1056="131"),H1056='131-CT'!$E$7),"x","")</f>
        <v/>
      </c>
      <c r="X1056" s="55" t="str">
        <f>IF(AND(B1056&gt;='IN-NX'!$P$3,B1056&lt;='IN-NX'!$Q$3,'IN-NX'!$D$7=D1056,OR(LEFT(TH!L1056,2)="15",LEFT(TH!M1056,2)="15")),"x","")</f>
        <v/>
      </c>
      <c r="Y1056" s="55" t="str">
        <f>IF(AND(OR(LEFT(TH!L1056,2)="15",LEFT(TH!M1056,2)="15"),'152-CT'!$J$8=TH!F1056),"x","")</f>
        <v/>
      </c>
      <c r="Z1056" s="55" t="str">
        <f>IF(AND(OR(LEFT(TH!L1056,2)="15",LEFT(TH!M1056,2)="15"),TK!$E$7=TH!F1056),"x","")</f>
        <v/>
      </c>
      <c r="AA1056" s="55" t="str">
        <f>IF(AND(B1056&lt;=NKC!$N$8,B1056&gt;=NKC!$M$8),"x","")</f>
        <v>x</v>
      </c>
    </row>
    <row r="1057" spans="1:29" s="226" customFormat="1" ht="15.75" customHeight="1">
      <c r="A1057" s="219" t="str">
        <f>IF(B1057&lt;&gt;"",IF(AND(B1057&gt;=_TM1,B1057&lt;=_TM2,OR(TH!L1057="1111",TH!M1057="1111")),TH!D1057,""),"")</f>
        <v/>
      </c>
      <c r="B1057" s="36">
        <f t="shared" si="39"/>
        <v>4</v>
      </c>
      <c r="C1057" s="205">
        <f t="shared" si="44"/>
        <v>41009</v>
      </c>
      <c r="D1057" s="904"/>
      <c r="E1057" s="904">
        <v>41009</v>
      </c>
      <c r="F1057" s="900" t="s">
        <v>1258</v>
      </c>
      <c r="G1057" s="577" t="s">
        <v>1259</v>
      </c>
      <c r="H1057" s="207" t="s">
        <v>1176</v>
      </c>
      <c r="I1057" s="275">
        <v>1000</v>
      </c>
      <c r="J1057" s="275">
        <v>2000</v>
      </c>
      <c r="K1057" s="698">
        <f t="shared" si="46"/>
        <v>2000000</v>
      </c>
      <c r="L1057" s="208" t="s">
        <v>311</v>
      </c>
      <c r="M1057" s="208" t="s">
        <v>208</v>
      </c>
      <c r="N1057" s="55" t="str">
        <f>IF(AND('331-CT'!$E$7=TH!H1057,OR(L1057="331",M1057="331")),"x","")</f>
        <v/>
      </c>
      <c r="O1057" s="55" t="str">
        <f>IF(AND($B1057&gt;='111'!$N$11,$B1057&lt;='111'!$O$11,OR($L1057=$O$7,$M1057=$O$7)),"x","")</f>
        <v/>
      </c>
      <c r="P1057" s="55" t="str">
        <f>IF(AND($L1057=$O$7,$B1057&lt;'111'!$N$11),"x","")</f>
        <v/>
      </c>
      <c r="Q1057" s="55" t="str">
        <f>IF(AND($M1057=$O$7,$B1057&lt;'111'!$N$11),"x","")</f>
        <v/>
      </c>
      <c r="R1057" s="55" t="str">
        <f>IF(ISERROR(FIND('112'!$M$9,G1057,1)),"",IF((AND(FIND('112'!$M$9,G1057,1)&gt;=1,$B1057&gt;='112'!$N$8,$B1057&lt;='112'!$O$8,OR($L1057='112'!$I$6,$M1057='112'!$I$6))),"x",""))</f>
        <v/>
      </c>
      <c r="S1057" s="55" t="str">
        <f>IF(ISERROR(FIND('112'!$M$9,G1057,1)),"",IF((AND(LEFT(G1057,2)=LEFT('112'!$M$9,2),B1057&lt;'112'!$N$8,$L1057='112'!$I$6)),"x",""))</f>
        <v/>
      </c>
      <c r="T1057" s="55" t="str">
        <f>IF(ISERROR(FIND('112'!$M$9,G1057,1)),"",IF((AND(RIGHT(G1057,2)=RIGHT('112'!$M$9,2),B1057&lt;'112'!$N$8,$M1057='112'!$I$6)),"x",""))</f>
        <v/>
      </c>
      <c r="U1057" s="55" t="str">
        <f>IF(AND('3411-CT'!$F$9=H1057,OR(LEFT(L1057,3)=$U$7,LEFT(M1057,3)=$U$7)),"x","")</f>
        <v/>
      </c>
      <c r="V1057" s="55" t="str">
        <f>IF(OR(TH!L1057=TH!$V$7,M1057=TH!$V$7),"x","")</f>
        <v/>
      </c>
      <c r="W1057" s="55" t="str">
        <f>IF(AND(OR(L1057="131",M1057="131"),H1057='131-CT'!$E$7),"x","")</f>
        <v/>
      </c>
      <c r="X1057" s="55" t="str">
        <f>IF(AND(B1057&gt;='IN-NX'!$P$3,B1057&lt;='IN-NX'!$Q$3,'IN-NX'!$D$7=D1057,OR(LEFT(TH!L1057,2)="15",LEFT(TH!M1057,2)="15")),"x","")</f>
        <v/>
      </c>
      <c r="Y1057" s="55" t="str">
        <f>IF(AND(OR(LEFT(TH!L1057,2)="15",LEFT(TH!M1057,2)="15"),'152-CT'!$J$8=TH!F1057),"x","")</f>
        <v/>
      </c>
      <c r="Z1057" s="55" t="str">
        <f>IF(AND(OR(LEFT(TH!L1057,2)="15",LEFT(TH!M1057,2)="15"),TK!$E$7=TH!F1057),"x","")</f>
        <v/>
      </c>
      <c r="AA1057" s="55" t="str">
        <f>IF(AND(B1057&lt;=NKC!$N$8,B1057&gt;=NKC!$M$8),"x","")</f>
        <v>x</v>
      </c>
    </row>
    <row r="1058" spans="1:29" s="226" customFormat="1" ht="15.75" customHeight="1">
      <c r="A1058" s="219" t="str">
        <f>IF(B1058&lt;&gt;"",IF(AND(B1058&gt;=_TM1,B1058&lt;=_TM2,OR(TH!L1058="1111",TH!M1058="1111")),TH!D1058,""),"")</f>
        <v/>
      </c>
      <c r="B1058" s="36">
        <f t="shared" si="39"/>
        <v>4</v>
      </c>
      <c r="C1058" s="205">
        <f t="shared" si="44"/>
        <v>41009</v>
      </c>
      <c r="D1058" s="904"/>
      <c r="E1058" s="904">
        <v>41009</v>
      </c>
      <c r="F1058" s="900" t="s">
        <v>1260</v>
      </c>
      <c r="G1058" s="577" t="s">
        <v>1259</v>
      </c>
      <c r="H1058" s="207" t="s">
        <v>1176</v>
      </c>
      <c r="I1058" s="275">
        <v>1500</v>
      </c>
      <c r="J1058" s="275">
        <v>1000</v>
      </c>
      <c r="K1058" s="698">
        <f t="shared" si="46"/>
        <v>1500000</v>
      </c>
      <c r="L1058" s="208" t="s">
        <v>311</v>
      </c>
      <c r="M1058" s="208" t="s">
        <v>208</v>
      </c>
      <c r="N1058" s="55" t="str">
        <f>IF(AND('331-CT'!$E$7=TH!H1058,OR(L1058="331",M1058="331")),"x","")</f>
        <v/>
      </c>
      <c r="O1058" s="55" t="str">
        <f>IF(AND($B1058&gt;='111'!$N$11,$B1058&lt;='111'!$O$11,OR($L1058=$O$7,$M1058=$O$7)),"x","")</f>
        <v/>
      </c>
      <c r="P1058" s="55" t="str">
        <f>IF(AND($L1058=$O$7,$B1058&lt;'111'!$N$11),"x","")</f>
        <v/>
      </c>
      <c r="Q1058" s="55" t="str">
        <f>IF(AND($M1058=$O$7,$B1058&lt;'111'!$N$11),"x","")</f>
        <v/>
      </c>
      <c r="R1058" s="55" t="str">
        <f>IF(ISERROR(FIND('112'!$M$9,G1058,1)),"",IF((AND(FIND('112'!$M$9,G1058,1)&gt;=1,$B1058&gt;='112'!$N$8,$B1058&lt;='112'!$O$8,OR($L1058='112'!$I$6,$M1058='112'!$I$6))),"x",""))</f>
        <v/>
      </c>
      <c r="S1058" s="55" t="str">
        <f>IF(ISERROR(FIND('112'!$M$9,G1058,1)),"",IF((AND(LEFT(G1058,2)=LEFT('112'!$M$9,2),B1058&lt;'112'!$N$8,$L1058='112'!$I$6)),"x",""))</f>
        <v/>
      </c>
      <c r="T1058" s="55" t="str">
        <f>IF(ISERROR(FIND('112'!$M$9,G1058,1)),"",IF((AND(RIGHT(G1058,2)=RIGHT('112'!$M$9,2),B1058&lt;'112'!$N$8,$M1058='112'!$I$6)),"x",""))</f>
        <v/>
      </c>
      <c r="U1058" s="55" t="str">
        <f>IF(AND('3411-CT'!$F$9=H1058,OR(LEFT(L1058,3)=$U$7,LEFT(M1058,3)=$U$7)),"x","")</f>
        <v/>
      </c>
      <c r="V1058" s="55" t="str">
        <f>IF(OR(TH!L1058=TH!$V$7,M1058=TH!$V$7),"x","")</f>
        <v/>
      </c>
      <c r="W1058" s="55" t="str">
        <f>IF(AND(OR(L1058="131",M1058="131"),H1058='131-CT'!$E$7),"x","")</f>
        <v/>
      </c>
      <c r="X1058" s="55" t="str">
        <f>IF(AND(B1058&gt;='IN-NX'!$P$3,B1058&lt;='IN-NX'!$Q$3,'IN-NX'!$D$7=D1058,OR(LEFT(TH!L1058,2)="15",LEFT(TH!M1058,2)="15")),"x","")</f>
        <v/>
      </c>
      <c r="Y1058" s="55" t="str">
        <f>IF(AND(OR(LEFT(TH!L1058,2)="15",LEFT(TH!M1058,2)="15"),'152-CT'!$J$8=TH!F1058),"x","")</f>
        <v/>
      </c>
      <c r="Z1058" s="55" t="str">
        <f>IF(AND(OR(LEFT(TH!L1058,2)="15",LEFT(TH!M1058,2)="15"),TK!$E$7=TH!F1058),"x","")</f>
        <v/>
      </c>
      <c r="AA1058" s="55" t="str">
        <f>IF(AND(B1058&lt;=NKC!$N$8,B1058&gt;=NKC!$M$8),"x","")</f>
        <v>x</v>
      </c>
    </row>
    <row r="1059" spans="1:29" s="226" customFormat="1" ht="15.75" customHeight="1">
      <c r="A1059" s="219" t="str">
        <f>IF(B1059&lt;&gt;"",IF(AND(B1059&gt;=_TM1,B1059&lt;=_TM2,OR(TH!L1059="1111",TH!M1059="1111")),TH!D1059,""),"")</f>
        <v/>
      </c>
      <c r="B1059" s="36">
        <f t="shared" si="39"/>
        <v>4</v>
      </c>
      <c r="C1059" s="205">
        <f t="shared" si="44"/>
        <v>41009</v>
      </c>
      <c r="D1059" s="904"/>
      <c r="E1059" s="904">
        <v>41009</v>
      </c>
      <c r="F1059" s="206" t="s">
        <v>1185</v>
      </c>
      <c r="G1059" s="577" t="s">
        <v>1259</v>
      </c>
      <c r="H1059" s="207" t="s">
        <v>1176</v>
      </c>
      <c r="I1059" s="277"/>
      <c r="J1059" s="277"/>
      <c r="K1059" s="698">
        <v>350000</v>
      </c>
      <c r="L1059" s="208" t="s">
        <v>311</v>
      </c>
      <c r="M1059" s="208" t="s">
        <v>549</v>
      </c>
      <c r="N1059" s="55" t="str">
        <f>IF(AND('331-CT'!$E$7=TH!H1059,OR(L1059="331",M1059="331")),"x","")</f>
        <v/>
      </c>
      <c r="O1059" s="55" t="str">
        <f>IF(AND($B1059&gt;='111'!$N$11,$B1059&lt;='111'!$O$11,OR($L1059=$O$7,$M1059=$O$7)),"x","")</f>
        <v/>
      </c>
      <c r="P1059" s="55" t="str">
        <f>IF(AND($L1059=$O$7,$B1059&lt;'111'!$N$11),"x","")</f>
        <v/>
      </c>
      <c r="Q1059" s="55" t="str">
        <f>IF(AND($M1059=$O$7,$B1059&lt;'111'!$N$11),"x","")</f>
        <v/>
      </c>
      <c r="R1059" s="55" t="str">
        <f>IF(ISERROR(FIND('112'!$M$9,G1059,1)),"",IF((AND(FIND('112'!$M$9,G1059,1)&gt;=1,$B1059&gt;='112'!$N$8,$B1059&lt;='112'!$O$8,OR($L1059='112'!$I$6,$M1059='112'!$I$6))),"x",""))</f>
        <v/>
      </c>
      <c r="S1059" s="55" t="str">
        <f>IF(ISERROR(FIND('112'!$M$9,G1059,1)),"",IF((AND(LEFT(G1059,2)=LEFT('112'!$M$9,2),B1059&lt;'112'!$N$8,$L1059='112'!$I$6)),"x",""))</f>
        <v/>
      </c>
      <c r="T1059" s="55" t="str">
        <f>IF(ISERROR(FIND('112'!$M$9,G1059,1)),"",IF((AND(RIGHT(G1059,2)=RIGHT('112'!$M$9,2),B1059&lt;'112'!$N$8,$M1059='112'!$I$6)),"x",""))</f>
        <v/>
      </c>
      <c r="U1059" s="55" t="str">
        <f>IF(AND('3411-CT'!$F$9=H1059,OR(LEFT(L1059,3)=$U$7,LEFT(M1059,3)=$U$7)),"x","")</f>
        <v/>
      </c>
      <c r="V1059" s="55" t="str">
        <f>IF(OR(TH!L1059=TH!$V$7,M1059=TH!$V$7),"x","")</f>
        <v/>
      </c>
      <c r="W1059" s="55" t="str">
        <f>IF(AND(OR(L1059="131",M1059="131"),H1059='131-CT'!$E$7),"x","")</f>
        <v/>
      </c>
      <c r="X1059" s="55" t="str">
        <f>IF(AND(B1059&gt;='IN-NX'!$P$3,B1059&lt;='IN-NX'!$Q$3,'IN-NX'!$D$7=D1059,OR(LEFT(TH!L1059,2)="15",LEFT(TH!M1059,2)="15")),"x","")</f>
        <v/>
      </c>
      <c r="Y1059" s="55" t="str">
        <f>IF(AND(OR(LEFT(TH!L1059,2)="15",LEFT(TH!M1059,2)="15"),'152-CT'!$J$8=TH!F1059),"x","")</f>
        <v/>
      </c>
      <c r="Z1059" s="55" t="str">
        <f>IF(AND(OR(LEFT(TH!L1059,2)="15",LEFT(TH!M1059,2)="15"),TK!$E$7=TH!F1059),"x","")</f>
        <v/>
      </c>
      <c r="AA1059" s="55" t="str">
        <f>IF(AND(B1059&lt;=NKC!$N$8,B1059&gt;=NKC!$M$8),"x","")</f>
        <v>x</v>
      </c>
    </row>
    <row r="1060" spans="1:29" s="226" customFormat="1" ht="15.75" customHeight="1">
      <c r="A1060" s="219" t="str">
        <f>IF(B1060&lt;&gt;"",IF(AND(B1060&gt;=_TM1,B1060&lt;=_TM2,OR(TH!L1060="1111",TH!M1060="1111")),TH!D1060,""),"")</f>
        <v/>
      </c>
      <c r="B1060" s="36">
        <f t="shared" si="39"/>
        <v>4</v>
      </c>
      <c r="C1060" s="205">
        <f t="shared" si="44"/>
        <v>41010</v>
      </c>
      <c r="D1060" s="904"/>
      <c r="E1060" s="904">
        <v>41010</v>
      </c>
      <c r="F1060" s="206" t="s">
        <v>1261</v>
      </c>
      <c r="G1060" s="577" t="s">
        <v>1262</v>
      </c>
      <c r="H1060" s="225" t="s">
        <v>1234</v>
      </c>
      <c r="I1060" s="277">
        <v>8</v>
      </c>
      <c r="J1060" s="277">
        <v>17388</v>
      </c>
      <c r="K1060" s="698">
        <f t="shared" si="46"/>
        <v>139104</v>
      </c>
      <c r="L1060" s="208" t="s">
        <v>49</v>
      </c>
      <c r="M1060" s="208" t="s">
        <v>208</v>
      </c>
      <c r="N1060" s="55" t="str">
        <f>IF(AND('331-CT'!$E$7=TH!H1060,OR(L1060="331",M1060="331")),"x","")</f>
        <v/>
      </c>
      <c r="O1060" s="55" t="str">
        <f>IF(AND($B1060&gt;='111'!$N$11,$B1060&lt;='111'!$O$11,OR($L1060=$O$7,$M1060=$O$7)),"x","")</f>
        <v/>
      </c>
      <c r="P1060" s="55" t="str">
        <f>IF(AND($L1060=$O$7,$B1060&lt;'111'!$N$11),"x","")</f>
        <v>x</v>
      </c>
      <c r="Q1060" s="55" t="str">
        <f>IF(AND($M1060=$O$7,$B1060&lt;'111'!$N$11),"x","")</f>
        <v/>
      </c>
      <c r="R1060" s="55" t="str">
        <f>IF(ISERROR(FIND('112'!$M$9,G1060,1)),"",IF((AND(FIND('112'!$M$9,G1060,1)&gt;=1,$B1060&gt;='112'!$N$8,$B1060&lt;='112'!$O$8,OR($L1060='112'!$I$6,$M1060='112'!$I$6))),"x",""))</f>
        <v/>
      </c>
      <c r="S1060" s="55" t="str">
        <f>IF(ISERROR(FIND('112'!$M$9,G1060,1)),"",IF((AND(LEFT(G1060,2)=LEFT('112'!$M$9,2),B1060&lt;'112'!$N$8,$L1060='112'!$I$6)),"x",""))</f>
        <v/>
      </c>
      <c r="T1060" s="55" t="str">
        <f>IF(ISERROR(FIND('112'!$M$9,G1060,1)),"",IF((AND(RIGHT(G1060,2)=RIGHT('112'!$M$9,2),B1060&lt;'112'!$N$8,$M1060='112'!$I$6)),"x",""))</f>
        <v/>
      </c>
      <c r="U1060" s="55" t="str">
        <f>IF(AND('3411-CT'!$F$9=H1060,OR(LEFT(L1060,3)=$U$7,LEFT(M1060,3)=$U$7)),"x","")</f>
        <v/>
      </c>
      <c r="V1060" s="55" t="str">
        <f>IF(OR(TH!L1060=TH!$V$7,M1060=TH!$V$7),"x","")</f>
        <v/>
      </c>
      <c r="W1060" s="55" t="str">
        <f>IF(AND(OR(L1060="131",M1060="131"),H1060='131-CT'!$E$7),"x","")</f>
        <v/>
      </c>
      <c r="X1060" s="55" t="str">
        <f>IF(AND(B1060&gt;='IN-NX'!$P$3,B1060&lt;='IN-NX'!$Q$3,'IN-NX'!$D$7=D1060,OR(LEFT(TH!L1060,2)="15",LEFT(TH!M1060,2)="15")),"x","")</f>
        <v/>
      </c>
      <c r="Y1060" s="55" t="str">
        <f>IF(AND(OR(LEFT(TH!L1060,2)="15",LEFT(TH!M1060,2)="15"),'152-CT'!$J$8=TH!F1060),"x","")</f>
        <v/>
      </c>
      <c r="Z1060" s="55" t="str">
        <f>IF(AND(OR(LEFT(TH!L1060,2)="15",LEFT(TH!M1060,2)="15"),TK!$E$7=TH!F1060),"x","")</f>
        <v/>
      </c>
      <c r="AA1060" s="55" t="str">
        <f>IF(AND(B1060&lt;=NKC!$N$8,B1060&gt;=NKC!$M$8),"x","")</f>
        <v>x</v>
      </c>
    </row>
    <row r="1061" spans="1:29" s="226" customFormat="1" ht="15.75" customHeight="1">
      <c r="A1061" s="219" t="str">
        <f>IF(B1061&lt;&gt;"",IF(AND(B1061&gt;=_TM1,B1061&lt;=_TM2,OR(TH!L1061="1111",TH!M1061="1111")),TH!D1061,""),"")</f>
        <v/>
      </c>
      <c r="B1061" s="36">
        <f t="shared" si="39"/>
        <v>4</v>
      </c>
      <c r="C1061" s="205">
        <f t="shared" si="44"/>
        <v>41010</v>
      </c>
      <c r="D1061" s="904"/>
      <c r="E1061" s="904">
        <v>41010</v>
      </c>
      <c r="F1061" s="206" t="s">
        <v>1263</v>
      </c>
      <c r="G1061" s="577" t="s">
        <v>1262</v>
      </c>
      <c r="H1061" s="225" t="s">
        <v>1234</v>
      </c>
      <c r="I1061" s="277">
        <v>5</v>
      </c>
      <c r="J1061" s="277">
        <v>17388</v>
      </c>
      <c r="K1061" s="698">
        <f t="shared" si="46"/>
        <v>86940</v>
      </c>
      <c r="L1061" s="208" t="s">
        <v>49</v>
      </c>
      <c r="M1061" s="208" t="s">
        <v>208</v>
      </c>
      <c r="N1061" s="55" t="str">
        <f>IF(AND('331-CT'!$E$7=TH!H1061,OR(L1061="331",M1061="331")),"x","")</f>
        <v/>
      </c>
      <c r="O1061" s="55" t="str">
        <f>IF(AND($B1061&gt;='111'!$N$11,$B1061&lt;='111'!$O$11,OR($L1061=$O$7,$M1061=$O$7)),"x","")</f>
        <v/>
      </c>
      <c r="P1061" s="55" t="str">
        <f>IF(AND($L1061=$O$7,$B1061&lt;'111'!$N$11),"x","")</f>
        <v>x</v>
      </c>
      <c r="Q1061" s="55" t="str">
        <f>IF(AND($M1061=$O$7,$B1061&lt;'111'!$N$11),"x","")</f>
        <v/>
      </c>
      <c r="R1061" s="55" t="str">
        <f>IF(ISERROR(FIND('112'!$M$9,G1061,1)),"",IF((AND(FIND('112'!$M$9,G1061,1)&gt;=1,$B1061&gt;='112'!$N$8,$B1061&lt;='112'!$O$8,OR($L1061='112'!$I$6,$M1061='112'!$I$6))),"x",""))</f>
        <v/>
      </c>
      <c r="S1061" s="55" t="str">
        <f>IF(ISERROR(FIND('112'!$M$9,G1061,1)),"",IF((AND(LEFT(G1061,2)=LEFT('112'!$M$9,2),B1061&lt;'112'!$N$8,$L1061='112'!$I$6)),"x",""))</f>
        <v/>
      </c>
      <c r="T1061" s="55" t="str">
        <f>IF(ISERROR(FIND('112'!$M$9,G1061,1)),"",IF((AND(RIGHT(G1061,2)=RIGHT('112'!$M$9,2),B1061&lt;'112'!$N$8,$M1061='112'!$I$6)),"x",""))</f>
        <v/>
      </c>
      <c r="U1061" s="55" t="str">
        <f>IF(AND('3411-CT'!$F$9=H1061,OR(LEFT(L1061,3)=$U$7,LEFT(M1061,3)=$U$7)),"x","")</f>
        <v/>
      </c>
      <c r="V1061" s="55" t="str">
        <f>IF(OR(TH!L1061=TH!$V$7,M1061=TH!$V$7),"x","")</f>
        <v/>
      </c>
      <c r="W1061" s="55" t="str">
        <f>IF(AND(OR(L1061="131",M1061="131"),H1061='131-CT'!$E$7),"x","")</f>
        <v/>
      </c>
      <c r="X1061" s="55" t="str">
        <f>IF(AND(B1061&gt;='IN-NX'!$P$3,B1061&lt;='IN-NX'!$Q$3,'IN-NX'!$D$7=D1061,OR(LEFT(TH!L1061,2)="15",LEFT(TH!M1061,2)="15")),"x","")</f>
        <v/>
      </c>
      <c r="Y1061" s="55" t="str">
        <f>IF(AND(OR(LEFT(TH!L1061,2)="15",LEFT(TH!M1061,2)="15"),'152-CT'!$J$8=TH!F1061),"x","")</f>
        <v/>
      </c>
      <c r="Z1061" s="55" t="str">
        <f>IF(AND(OR(LEFT(TH!L1061,2)="15",LEFT(TH!M1061,2)="15"),TK!$E$7=TH!F1061),"x","")</f>
        <v/>
      </c>
      <c r="AA1061" s="55" t="str">
        <f>IF(AND(B1061&lt;=NKC!$N$8,B1061&gt;=NKC!$M$8),"x","")</f>
        <v>x</v>
      </c>
    </row>
    <row r="1062" spans="1:29" s="226" customFormat="1" ht="15.75" customHeight="1">
      <c r="A1062" s="219" t="str">
        <f>IF(B1062&lt;&gt;"",IF(AND(B1062&gt;=_TM1,B1062&lt;=_TM2,OR(TH!L1062="1111",TH!M1062="1111")),TH!D1062,""),"")</f>
        <v/>
      </c>
      <c r="B1062" s="36">
        <f t="shared" si="39"/>
        <v>4</v>
      </c>
      <c r="C1062" s="205">
        <f t="shared" si="44"/>
        <v>41010</v>
      </c>
      <c r="D1062" s="904"/>
      <c r="E1062" s="904">
        <v>41010</v>
      </c>
      <c r="F1062" s="206" t="s">
        <v>1264</v>
      </c>
      <c r="G1062" s="577" t="s">
        <v>1262</v>
      </c>
      <c r="H1062" s="225" t="s">
        <v>1234</v>
      </c>
      <c r="I1062" s="277">
        <v>7</v>
      </c>
      <c r="J1062" s="277">
        <v>17388</v>
      </c>
      <c r="K1062" s="698">
        <f t="shared" si="46"/>
        <v>121716</v>
      </c>
      <c r="L1062" s="208" t="s">
        <v>49</v>
      </c>
      <c r="M1062" s="208" t="s">
        <v>208</v>
      </c>
      <c r="N1062" s="55" t="str">
        <f>IF(AND('331-CT'!$E$7=TH!H1062,OR(L1062="331",M1062="331")),"x","")</f>
        <v/>
      </c>
      <c r="O1062" s="55" t="str">
        <f>IF(AND($B1062&gt;='111'!$N$11,$B1062&lt;='111'!$O$11,OR($L1062=$O$7,$M1062=$O$7)),"x","")</f>
        <v/>
      </c>
      <c r="P1062" s="55" t="str">
        <f>IF(AND($L1062=$O$7,$B1062&lt;'111'!$N$11),"x","")</f>
        <v>x</v>
      </c>
      <c r="Q1062" s="55" t="str">
        <f>IF(AND($M1062=$O$7,$B1062&lt;'111'!$N$11),"x","")</f>
        <v/>
      </c>
      <c r="R1062" s="55" t="str">
        <f>IF(ISERROR(FIND('112'!$M$9,G1062,1)),"",IF((AND(FIND('112'!$M$9,G1062,1)&gt;=1,$B1062&gt;='112'!$N$8,$B1062&lt;='112'!$O$8,OR($L1062='112'!$I$6,$M1062='112'!$I$6))),"x",""))</f>
        <v/>
      </c>
      <c r="S1062" s="55" t="str">
        <f>IF(ISERROR(FIND('112'!$M$9,G1062,1)),"",IF((AND(LEFT(G1062,2)=LEFT('112'!$M$9,2),B1062&lt;'112'!$N$8,$L1062='112'!$I$6)),"x",""))</f>
        <v/>
      </c>
      <c r="T1062" s="55" t="str">
        <f>IF(ISERROR(FIND('112'!$M$9,G1062,1)),"",IF((AND(RIGHT(G1062,2)=RIGHT('112'!$M$9,2),B1062&lt;'112'!$N$8,$M1062='112'!$I$6)),"x",""))</f>
        <v/>
      </c>
      <c r="U1062" s="55" t="str">
        <f>IF(AND('3411-CT'!$F$9=H1062,OR(LEFT(L1062,3)=$U$7,LEFT(M1062,3)=$U$7)),"x","")</f>
        <v/>
      </c>
      <c r="V1062" s="55" t="str">
        <f>IF(OR(TH!L1062=TH!$V$7,M1062=TH!$V$7),"x","")</f>
        <v/>
      </c>
      <c r="W1062" s="55" t="str">
        <f>IF(AND(OR(L1062="131",M1062="131"),H1062='131-CT'!$E$7),"x","")</f>
        <v/>
      </c>
      <c r="X1062" s="55" t="str">
        <f>IF(AND(B1062&gt;='IN-NX'!$P$3,B1062&lt;='IN-NX'!$Q$3,'IN-NX'!$D$7=D1062,OR(LEFT(TH!L1062,2)="15",LEFT(TH!M1062,2)="15")),"x","")</f>
        <v/>
      </c>
      <c r="Y1062" s="55" t="str">
        <f>IF(AND(OR(LEFT(TH!L1062,2)="15",LEFT(TH!M1062,2)="15"),'152-CT'!$J$8=TH!F1062),"x","")</f>
        <v/>
      </c>
      <c r="Z1062" s="55" t="str">
        <f>IF(AND(OR(LEFT(TH!L1062,2)="15",LEFT(TH!M1062,2)="15"),TK!$E$7=TH!F1062),"x","")</f>
        <v/>
      </c>
      <c r="AA1062" s="55" t="str">
        <f>IF(AND(B1062&lt;=NKC!$N$8,B1062&gt;=NKC!$M$8),"x","")</f>
        <v>x</v>
      </c>
    </row>
    <row r="1063" spans="1:29" s="226" customFormat="1" ht="15.75" customHeight="1">
      <c r="A1063" s="219" t="str">
        <f>IF(B1063&lt;&gt;"",IF(AND(B1063&gt;=_TM1,B1063&lt;=_TM2,OR(TH!L1063="1111",TH!M1063="1111")),TH!D1063,""),"")</f>
        <v/>
      </c>
      <c r="B1063" s="36">
        <f t="shared" si="39"/>
        <v>4</v>
      </c>
      <c r="C1063" s="205">
        <f t="shared" si="44"/>
        <v>41010</v>
      </c>
      <c r="D1063" s="904"/>
      <c r="E1063" s="904">
        <v>41010</v>
      </c>
      <c r="F1063" s="206" t="s">
        <v>1265</v>
      </c>
      <c r="G1063" s="577" t="s">
        <v>1262</v>
      </c>
      <c r="H1063" s="225" t="s">
        <v>1234</v>
      </c>
      <c r="I1063" s="899">
        <v>12</v>
      </c>
      <c r="J1063" s="277">
        <v>17388</v>
      </c>
      <c r="K1063" s="698">
        <f t="shared" si="46"/>
        <v>208656</v>
      </c>
      <c r="L1063" s="208" t="s">
        <v>49</v>
      </c>
      <c r="M1063" s="208" t="s">
        <v>208</v>
      </c>
      <c r="N1063" s="55" t="str">
        <f>IF(AND('331-CT'!$E$7=TH!H1063,OR(L1063="331",M1063="331")),"x","")</f>
        <v/>
      </c>
      <c r="O1063" s="55" t="str">
        <f>IF(AND($B1063&gt;='111'!$N$11,$B1063&lt;='111'!$O$11,OR($L1063=$O$7,$M1063=$O$7)),"x","")</f>
        <v/>
      </c>
      <c r="P1063" s="55" t="str">
        <f>IF(AND($L1063=$O$7,$B1063&lt;'111'!$N$11),"x","")</f>
        <v>x</v>
      </c>
      <c r="Q1063" s="55" t="str">
        <f>IF(AND($M1063=$O$7,$B1063&lt;'111'!$N$11),"x","")</f>
        <v/>
      </c>
      <c r="R1063" s="55" t="str">
        <f>IF(ISERROR(FIND('112'!$M$9,G1063,1)),"",IF((AND(FIND('112'!$M$9,G1063,1)&gt;=1,$B1063&gt;='112'!$N$8,$B1063&lt;='112'!$O$8,OR($L1063='112'!$I$6,$M1063='112'!$I$6))),"x",""))</f>
        <v/>
      </c>
      <c r="S1063" s="55" t="str">
        <f>IF(ISERROR(FIND('112'!$M$9,G1063,1)),"",IF((AND(LEFT(G1063,2)=LEFT('112'!$M$9,2),B1063&lt;'112'!$N$8,$L1063='112'!$I$6)),"x",""))</f>
        <v/>
      </c>
      <c r="T1063" s="55" t="str">
        <f>IF(ISERROR(FIND('112'!$M$9,G1063,1)),"",IF((AND(RIGHT(G1063,2)=RIGHT('112'!$M$9,2),B1063&lt;'112'!$N$8,$M1063='112'!$I$6)),"x",""))</f>
        <v/>
      </c>
      <c r="U1063" s="55" t="str">
        <f>IF(AND('3411-CT'!$F$9=H1063,OR(LEFT(L1063,3)=$U$7,LEFT(M1063,3)=$U$7)),"x","")</f>
        <v/>
      </c>
      <c r="V1063" s="55" t="str">
        <f>IF(OR(TH!L1063=TH!$V$7,M1063=TH!$V$7),"x","")</f>
        <v/>
      </c>
      <c r="W1063" s="55" t="str">
        <f>IF(AND(OR(L1063="131",M1063="131"),H1063='131-CT'!$E$7),"x","")</f>
        <v/>
      </c>
      <c r="X1063" s="55" t="str">
        <f>IF(AND(B1063&gt;='IN-NX'!$P$3,B1063&lt;='IN-NX'!$Q$3,'IN-NX'!$D$7=D1063,OR(LEFT(TH!L1063,2)="15",LEFT(TH!M1063,2)="15")),"x","")</f>
        <v/>
      </c>
      <c r="Y1063" s="55" t="str">
        <f>IF(AND(OR(LEFT(TH!L1063,2)="15",LEFT(TH!M1063,2)="15"),'152-CT'!$J$8=TH!F1063),"x","")</f>
        <v/>
      </c>
      <c r="Z1063" s="55" t="str">
        <f>IF(AND(OR(LEFT(TH!L1063,2)="15",LEFT(TH!M1063,2)="15"),TK!$E$7=TH!F1063),"x","")</f>
        <v/>
      </c>
      <c r="AA1063" s="55" t="str">
        <f>IF(AND(B1063&lt;=NKC!$N$8,B1063&gt;=NKC!$M$8),"x","")</f>
        <v>x</v>
      </c>
    </row>
    <row r="1064" spans="1:29" s="226" customFormat="1" ht="15.75" customHeight="1">
      <c r="A1064" s="219" t="str">
        <f>IF(B1064&lt;&gt;"",IF(AND(B1064&gt;=_TM1,B1064&lt;=_TM2,OR(TH!L1064="1111",TH!M1064="1111")),TH!D1064,""),"")</f>
        <v/>
      </c>
      <c r="B1064" s="36">
        <f t="shared" si="39"/>
        <v>4</v>
      </c>
      <c r="C1064" s="205">
        <f t="shared" si="44"/>
        <v>41010</v>
      </c>
      <c r="D1064" s="904"/>
      <c r="E1064" s="904">
        <v>41010</v>
      </c>
      <c r="F1064" s="206" t="s">
        <v>1266</v>
      </c>
      <c r="G1064" s="577" t="s">
        <v>1262</v>
      </c>
      <c r="H1064" s="225" t="s">
        <v>1234</v>
      </c>
      <c r="I1064" s="277">
        <v>22</v>
      </c>
      <c r="J1064" s="277">
        <v>17388</v>
      </c>
      <c r="K1064" s="698">
        <f t="shared" si="46"/>
        <v>382536</v>
      </c>
      <c r="L1064" s="208" t="s">
        <v>49</v>
      </c>
      <c r="M1064" s="208" t="s">
        <v>208</v>
      </c>
      <c r="N1064" s="55" t="str">
        <f>IF(AND('331-CT'!$E$7=TH!H1064,OR(L1064="331",M1064="331")),"x","")</f>
        <v/>
      </c>
      <c r="O1064" s="55" t="str">
        <f>IF(AND($B1064&gt;='111'!$N$11,$B1064&lt;='111'!$O$11,OR($L1064=$O$7,$M1064=$O$7)),"x","")</f>
        <v/>
      </c>
      <c r="P1064" s="55" t="str">
        <f>IF(AND($L1064=$O$7,$B1064&lt;'111'!$N$11),"x","")</f>
        <v>x</v>
      </c>
      <c r="Q1064" s="55" t="str">
        <f>IF(AND($M1064=$O$7,$B1064&lt;'111'!$N$11),"x","")</f>
        <v/>
      </c>
      <c r="R1064" s="55" t="str">
        <f>IF(ISERROR(FIND('112'!$M$9,G1064,1)),"",IF((AND(FIND('112'!$M$9,G1064,1)&gt;=1,$B1064&gt;='112'!$N$8,$B1064&lt;='112'!$O$8,OR($L1064='112'!$I$6,$M1064='112'!$I$6))),"x",""))</f>
        <v/>
      </c>
      <c r="S1064" s="55" t="str">
        <f>IF(ISERROR(FIND('112'!$M$9,G1064,1)),"",IF((AND(LEFT(G1064,2)=LEFT('112'!$M$9,2),B1064&lt;'112'!$N$8,$L1064='112'!$I$6)),"x",""))</f>
        <v/>
      </c>
      <c r="T1064" s="55" t="str">
        <f>IF(ISERROR(FIND('112'!$M$9,G1064,1)),"",IF((AND(RIGHT(G1064,2)=RIGHT('112'!$M$9,2),B1064&lt;'112'!$N$8,$M1064='112'!$I$6)),"x",""))</f>
        <v/>
      </c>
      <c r="U1064" s="55" t="str">
        <f>IF(AND('3411-CT'!$F$9=H1064,OR(LEFT(L1064,3)=$U$7,LEFT(M1064,3)=$U$7)),"x","")</f>
        <v/>
      </c>
      <c r="V1064" s="55" t="str">
        <f>IF(OR(TH!L1064=TH!$V$7,M1064=TH!$V$7),"x","")</f>
        <v/>
      </c>
      <c r="W1064" s="55" t="str">
        <f>IF(AND(OR(L1064="131",M1064="131"),H1064='131-CT'!$E$7),"x","")</f>
        <v/>
      </c>
      <c r="X1064" s="55" t="str">
        <f>IF(AND(B1064&gt;='IN-NX'!$P$3,B1064&lt;='IN-NX'!$Q$3,'IN-NX'!$D$7=D1064,OR(LEFT(TH!L1064,2)="15",LEFT(TH!M1064,2)="15")),"x","")</f>
        <v/>
      </c>
      <c r="Y1064" s="55" t="str">
        <f>IF(AND(OR(LEFT(TH!L1064,2)="15",LEFT(TH!M1064,2)="15"),'152-CT'!$J$8=TH!F1064),"x","")</f>
        <v/>
      </c>
      <c r="Z1064" s="55" t="str">
        <f>IF(AND(OR(LEFT(TH!L1064,2)="15",LEFT(TH!M1064,2)="15"),TK!$E$7=TH!F1064),"x","")</f>
        <v/>
      </c>
      <c r="AA1064" s="55" t="str">
        <f>IF(AND(B1064&lt;=NKC!$N$8,B1064&gt;=NKC!$M$8),"x","")</f>
        <v>x</v>
      </c>
    </row>
    <row r="1065" spans="1:29" ht="15.75" customHeight="1">
      <c r="A1065" s="219" t="str">
        <f>IF(B1065&lt;&gt;"",IF(AND(B1065&gt;=_TM1,B1065&lt;=_TM2,OR(TH!L1065="1111",TH!M1065="1111")),TH!D1065,""),"")</f>
        <v/>
      </c>
      <c r="B1065" s="36">
        <f t="shared" si="39"/>
        <v>4</v>
      </c>
      <c r="C1065" s="205">
        <f t="shared" si="44"/>
        <v>41010</v>
      </c>
      <c r="D1065" s="904"/>
      <c r="E1065" s="904">
        <v>41010</v>
      </c>
      <c r="F1065" s="206" t="s">
        <v>1267</v>
      </c>
      <c r="G1065" s="577" t="s">
        <v>1262</v>
      </c>
      <c r="H1065" s="225" t="s">
        <v>1234</v>
      </c>
      <c r="I1065" s="277">
        <v>31</v>
      </c>
      <c r="J1065" s="277">
        <v>17388</v>
      </c>
      <c r="K1065" s="698">
        <f t="shared" si="46"/>
        <v>539028</v>
      </c>
      <c r="L1065" s="208" t="s">
        <v>49</v>
      </c>
      <c r="M1065" s="208" t="s">
        <v>208</v>
      </c>
      <c r="N1065" s="55" t="str">
        <f>IF(AND('331-CT'!$E$7=TH!H1065,OR(L1065="331",M1065="331")),"x","")</f>
        <v/>
      </c>
      <c r="O1065" s="55" t="str">
        <f>IF(AND($B1065&gt;='111'!$N$11,$B1065&lt;='111'!$O$11,OR($L1065=$O$7,$M1065=$O$7)),"x","")</f>
        <v/>
      </c>
      <c r="P1065" s="55" t="str">
        <f>IF(AND($L1065=$O$7,$B1065&lt;'111'!$N$11),"x","")</f>
        <v>x</v>
      </c>
      <c r="Q1065" s="55" t="str">
        <f>IF(AND($M1065=$O$7,$B1065&lt;'111'!$N$11),"x","")</f>
        <v/>
      </c>
      <c r="R1065" s="55" t="str">
        <f>IF(ISERROR(FIND('112'!$M$9,G1065,1)),"",IF((AND(FIND('112'!$M$9,G1065,1)&gt;=1,$B1065&gt;='112'!$N$8,$B1065&lt;='112'!$O$8,OR($L1065='112'!$I$6,$M1065='112'!$I$6))),"x",""))</f>
        <v/>
      </c>
      <c r="S1065" s="55" t="str">
        <f>IF(ISERROR(FIND('112'!$M$9,G1065,1)),"",IF((AND(LEFT(G1065,2)=LEFT('112'!$M$9,2),B1065&lt;'112'!$N$8,$L1065='112'!$I$6)),"x",""))</f>
        <v/>
      </c>
      <c r="T1065" s="55" t="str">
        <f>IF(ISERROR(FIND('112'!$M$9,G1065,1)),"",IF((AND(RIGHT(G1065,2)=RIGHT('112'!$M$9,2),B1065&lt;'112'!$N$8,$M1065='112'!$I$6)),"x",""))</f>
        <v/>
      </c>
      <c r="U1065" s="55" t="str">
        <f>IF(AND('3411-CT'!$F$9=H1065,OR(LEFT(L1065,3)=$U$7,LEFT(M1065,3)=$U$7)),"x","")</f>
        <v/>
      </c>
      <c r="V1065" s="55" t="str">
        <f>IF(OR(TH!L1065=TH!$V$7,M1065=TH!$V$7),"x","")</f>
        <v/>
      </c>
      <c r="W1065" s="55" t="str">
        <f>IF(AND(OR(L1065="131",M1065="131"),H1065='131-CT'!$E$7),"x","")</f>
        <v/>
      </c>
      <c r="X1065" s="55" t="str">
        <f>IF(AND(B1065&gt;='IN-NX'!$P$3,B1065&lt;='IN-NX'!$Q$3,'IN-NX'!$D$7=D1065,OR(LEFT(TH!L1065,2)="15",LEFT(TH!M1065,2)="15")),"x","")</f>
        <v/>
      </c>
      <c r="Y1065" s="55" t="str">
        <f>IF(AND(OR(LEFT(TH!L1065,2)="15",LEFT(TH!M1065,2)="15"),'152-CT'!$J$8=TH!F1065),"x","")</f>
        <v/>
      </c>
      <c r="Z1065" s="55" t="str">
        <f>IF(AND(OR(LEFT(TH!L1065,2)="15",LEFT(TH!M1065,2)="15"),TK!$E$7=TH!F1065),"x","")</f>
        <v/>
      </c>
      <c r="AA1065" s="55" t="str">
        <f>IF(AND(B1065&lt;=NKC!$N$8,B1065&gt;=NKC!$M$8),"x","")</f>
        <v>x</v>
      </c>
    </row>
    <row r="1066" spans="1:29" ht="15.75" customHeight="1">
      <c r="A1066" s="219" t="str">
        <f>IF(B1066&lt;&gt;"",IF(AND(B1066&gt;=_TM1,B1066&lt;=_TM2,OR(TH!L1066="1111",TH!M1066="1111")),TH!D1066,""),"")</f>
        <v/>
      </c>
      <c r="B1066" s="36">
        <f t="shared" si="39"/>
        <v>4</v>
      </c>
      <c r="C1066" s="205">
        <f t="shared" si="44"/>
        <v>41010</v>
      </c>
      <c r="D1066" s="904"/>
      <c r="E1066" s="904">
        <v>41010</v>
      </c>
      <c r="F1066" s="206" t="s">
        <v>1185</v>
      </c>
      <c r="G1066" s="577" t="s">
        <v>1262</v>
      </c>
      <c r="H1066" s="225" t="s">
        <v>1234</v>
      </c>
      <c r="I1066" s="277"/>
      <c r="J1066" s="277"/>
      <c r="K1066" s="698">
        <v>147798</v>
      </c>
      <c r="L1066" s="208" t="s">
        <v>49</v>
      </c>
      <c r="M1066" s="208" t="s">
        <v>549</v>
      </c>
      <c r="N1066" s="55" t="str">
        <f>IF(AND('331-CT'!$E$7=TH!H1066,OR(L1066="331",M1066="331")),"x","")</f>
        <v/>
      </c>
      <c r="O1066" s="55" t="str">
        <f>IF(AND($B1066&gt;='111'!$N$11,$B1066&lt;='111'!$O$11,OR($L1066=$O$7,$M1066=$O$7)),"x","")</f>
        <v/>
      </c>
      <c r="P1066" s="55" t="str">
        <f>IF(AND($L1066=$O$7,$B1066&lt;'111'!$N$11),"x","")</f>
        <v>x</v>
      </c>
      <c r="Q1066" s="55" t="str">
        <f>IF(AND($M1066=$O$7,$B1066&lt;'111'!$N$11),"x","")</f>
        <v/>
      </c>
      <c r="R1066" s="55" t="str">
        <f>IF(ISERROR(FIND('112'!$M$9,G1066,1)),"",IF((AND(FIND('112'!$M$9,G1066,1)&gt;=1,$B1066&gt;='112'!$N$8,$B1066&lt;='112'!$O$8,OR($L1066='112'!$I$6,$M1066='112'!$I$6))),"x",""))</f>
        <v/>
      </c>
      <c r="S1066" s="55" t="str">
        <f>IF(ISERROR(FIND('112'!$M$9,G1066,1)),"",IF((AND(LEFT(G1066,2)=LEFT('112'!$M$9,2),B1066&lt;'112'!$N$8,$L1066='112'!$I$6)),"x",""))</f>
        <v/>
      </c>
      <c r="T1066" s="55" t="str">
        <f>IF(ISERROR(FIND('112'!$M$9,G1066,1)),"",IF((AND(RIGHT(G1066,2)=RIGHT('112'!$M$9,2),B1066&lt;'112'!$N$8,$M1066='112'!$I$6)),"x",""))</f>
        <v/>
      </c>
      <c r="U1066" s="55" t="str">
        <f>IF(AND('3411-CT'!$F$9=H1066,OR(LEFT(L1066,3)=$U$7,LEFT(M1066,3)=$U$7)),"x","")</f>
        <v/>
      </c>
      <c r="V1066" s="55" t="str">
        <f>IF(OR(TH!L1066=TH!$V$7,M1066=TH!$V$7),"x","")</f>
        <v/>
      </c>
      <c r="W1066" s="55" t="str">
        <f>IF(AND(OR(L1066="131",M1066="131"),H1066='131-CT'!$E$7),"x","")</f>
        <v/>
      </c>
      <c r="X1066" s="55" t="str">
        <f>IF(AND(B1066&gt;='IN-NX'!$P$3,B1066&lt;='IN-NX'!$Q$3,'IN-NX'!$D$7=D1066,OR(LEFT(TH!L1066,2)="15",LEFT(TH!M1066,2)="15")),"x","")</f>
        <v/>
      </c>
      <c r="Y1066" s="55" t="str">
        <f>IF(AND(OR(LEFT(TH!L1066,2)="15",LEFT(TH!M1066,2)="15"),'152-CT'!$J$8=TH!F1066),"x","")</f>
        <v/>
      </c>
      <c r="Z1066" s="55" t="str">
        <f>IF(AND(OR(LEFT(TH!L1066,2)="15",LEFT(TH!M1066,2)="15"),TK!$E$7=TH!F1066),"x","")</f>
        <v/>
      </c>
      <c r="AA1066" s="55" t="str">
        <f>IF(AND(B1066&lt;=NKC!$N$8,B1066&gt;=NKC!$M$8),"x","")</f>
        <v>x</v>
      </c>
      <c r="AC1066" s="226"/>
    </row>
    <row r="1067" spans="1:29" ht="15.75" customHeight="1">
      <c r="A1067" s="219" t="str">
        <f>IF(B1067&lt;&gt;"",IF(AND(B1067&gt;=_TM1,B1067&lt;=_TM2,OR(TH!L1067="1111",TH!M1067="1111")),TH!D1067,""),"")</f>
        <v/>
      </c>
      <c r="B1067" s="36">
        <f t="shared" si="39"/>
        <v>4</v>
      </c>
      <c r="C1067" s="205">
        <f t="shared" si="44"/>
        <v>41016</v>
      </c>
      <c r="D1067" s="904"/>
      <c r="E1067" s="904">
        <v>41016</v>
      </c>
      <c r="F1067" s="905" t="s">
        <v>1552</v>
      </c>
      <c r="G1067" s="577" t="s">
        <v>1268</v>
      </c>
      <c r="H1067" s="7" t="s">
        <v>1132</v>
      </c>
      <c r="I1067" s="277">
        <v>940</v>
      </c>
      <c r="J1067" s="277">
        <v>9500</v>
      </c>
      <c r="K1067" s="698">
        <f t="shared" si="46"/>
        <v>8930000</v>
      </c>
      <c r="L1067" s="208" t="s">
        <v>311</v>
      </c>
      <c r="M1067" s="208" t="s">
        <v>208</v>
      </c>
      <c r="N1067" s="55" t="str">
        <f>IF(AND('331-CT'!$E$7=TH!H1067,OR(L1067="331",M1067="331")),"x","")</f>
        <v/>
      </c>
      <c r="O1067" s="55" t="str">
        <f>IF(AND($B1067&gt;='111'!$N$11,$B1067&lt;='111'!$O$11,OR($L1067=$O$7,$M1067=$O$7)),"x","")</f>
        <v/>
      </c>
      <c r="P1067" s="55" t="str">
        <f>IF(AND($L1067=$O$7,$B1067&lt;'111'!$N$11),"x","")</f>
        <v/>
      </c>
      <c r="Q1067" s="55" t="str">
        <f>IF(AND($M1067=$O$7,$B1067&lt;'111'!$N$11),"x","")</f>
        <v/>
      </c>
      <c r="R1067" s="55" t="str">
        <f>IF(ISERROR(FIND('112'!$M$9,G1067,1)),"",IF((AND(FIND('112'!$M$9,G1067,1)&gt;=1,$B1067&gt;='112'!$N$8,$B1067&lt;='112'!$O$8,OR($L1067='112'!$I$6,$M1067='112'!$I$6))),"x",""))</f>
        <v/>
      </c>
      <c r="S1067" s="55" t="str">
        <f>IF(ISERROR(FIND('112'!$M$9,G1067,1)),"",IF((AND(LEFT(G1067,2)=LEFT('112'!$M$9,2),B1067&lt;'112'!$N$8,$L1067='112'!$I$6)),"x",""))</f>
        <v/>
      </c>
      <c r="T1067" s="55" t="str">
        <f>IF(ISERROR(FIND('112'!$M$9,G1067,1)),"",IF((AND(RIGHT(G1067,2)=RIGHT('112'!$M$9,2),B1067&lt;'112'!$N$8,$M1067='112'!$I$6)),"x",""))</f>
        <v/>
      </c>
      <c r="U1067" s="55" t="str">
        <f>IF(AND('3411-CT'!$F$9=H1067,OR(LEFT(L1067,3)=$U$7,LEFT(M1067,3)=$U$7)),"x","")</f>
        <v/>
      </c>
      <c r="V1067" s="55" t="str">
        <f>IF(OR(TH!L1067=TH!$V$7,M1067=TH!$V$7),"x","")</f>
        <v/>
      </c>
      <c r="W1067" s="55" t="str">
        <f>IF(AND(OR(L1067="131",M1067="131"),H1067='131-CT'!$E$7),"x","")</f>
        <v/>
      </c>
      <c r="X1067" s="55" t="str">
        <f>IF(AND(B1067&gt;='IN-NX'!$P$3,B1067&lt;='IN-NX'!$Q$3,'IN-NX'!$D$7=D1067,OR(LEFT(TH!L1067,2)="15",LEFT(TH!M1067,2)="15")),"x","")</f>
        <v/>
      </c>
      <c r="Y1067" s="55" t="str">
        <f>IF(AND(OR(LEFT(TH!L1067,2)="15",LEFT(TH!M1067,2)="15"),'152-CT'!$J$8=TH!F1067),"x","")</f>
        <v/>
      </c>
      <c r="Z1067" s="55" t="str">
        <f>IF(AND(OR(LEFT(TH!L1067,2)="15",LEFT(TH!M1067,2)="15"),TK!$E$7=TH!F1067),"x","")</f>
        <v/>
      </c>
      <c r="AA1067" s="55" t="str">
        <f>IF(AND(B1067&lt;=NKC!$N$8,B1067&gt;=NKC!$M$8),"x","")</f>
        <v>x</v>
      </c>
    </row>
    <row r="1068" spans="1:29" ht="15.75" customHeight="1">
      <c r="A1068" s="219" t="str">
        <f>IF(B1068&lt;&gt;"",IF(AND(B1068&gt;=_TM1,B1068&lt;=_TM2,OR(TH!L1068="1111",TH!M1068="1111")),TH!D1068,""),"")</f>
        <v/>
      </c>
      <c r="B1068" s="36">
        <f t="shared" si="39"/>
        <v>4</v>
      </c>
      <c r="C1068" s="205">
        <f t="shared" si="44"/>
        <v>41016</v>
      </c>
      <c r="D1068" s="904"/>
      <c r="E1068" s="904">
        <v>41016</v>
      </c>
      <c r="F1068" s="206" t="s">
        <v>1185</v>
      </c>
      <c r="G1068" s="577" t="s">
        <v>1268</v>
      </c>
      <c r="H1068" s="7" t="s">
        <v>1132</v>
      </c>
      <c r="I1068" s="277"/>
      <c r="J1068" s="277"/>
      <c r="K1068" s="698">
        <v>893000</v>
      </c>
      <c r="L1068" s="208" t="s">
        <v>311</v>
      </c>
      <c r="M1068" s="208" t="s">
        <v>549</v>
      </c>
      <c r="N1068" s="55" t="str">
        <f>IF(AND('331-CT'!$E$7=TH!H1068,OR(L1068="331",M1068="331")),"x","")</f>
        <v/>
      </c>
      <c r="O1068" s="55" t="str">
        <f>IF(AND($B1068&gt;='111'!$N$11,$B1068&lt;='111'!$O$11,OR($L1068=$O$7,$M1068=$O$7)),"x","")</f>
        <v/>
      </c>
      <c r="P1068" s="55" t="str">
        <f>IF(AND($L1068=$O$7,$B1068&lt;'111'!$N$11),"x","")</f>
        <v/>
      </c>
      <c r="Q1068" s="55" t="str">
        <f>IF(AND($M1068=$O$7,$B1068&lt;'111'!$N$11),"x","")</f>
        <v/>
      </c>
      <c r="R1068" s="55" t="str">
        <f>IF(ISERROR(FIND('112'!$M$9,G1068,1)),"",IF((AND(FIND('112'!$M$9,G1068,1)&gt;=1,$B1068&gt;='112'!$N$8,$B1068&lt;='112'!$O$8,OR($L1068='112'!$I$6,$M1068='112'!$I$6))),"x",""))</f>
        <v/>
      </c>
      <c r="S1068" s="55" t="str">
        <f>IF(ISERROR(FIND('112'!$M$9,G1068,1)),"",IF((AND(LEFT(G1068,2)=LEFT('112'!$M$9,2),B1068&lt;'112'!$N$8,$L1068='112'!$I$6)),"x",""))</f>
        <v/>
      </c>
      <c r="T1068" s="55" t="str">
        <f>IF(ISERROR(FIND('112'!$M$9,G1068,1)),"",IF((AND(RIGHT(G1068,2)=RIGHT('112'!$M$9,2),B1068&lt;'112'!$N$8,$M1068='112'!$I$6)),"x",""))</f>
        <v/>
      </c>
      <c r="U1068" s="55" t="str">
        <f>IF(AND('3411-CT'!$F$9=H1068,OR(LEFT(L1068,3)=$U$7,LEFT(M1068,3)=$U$7)),"x","")</f>
        <v/>
      </c>
      <c r="V1068" s="55" t="str">
        <f>IF(OR(TH!L1068=TH!$V$7,M1068=TH!$V$7),"x","")</f>
        <v/>
      </c>
      <c r="W1068" s="55" t="str">
        <f>IF(AND(OR(L1068="131",M1068="131"),H1068='131-CT'!$E$7),"x","")</f>
        <v/>
      </c>
      <c r="X1068" s="55" t="str">
        <f>IF(AND(B1068&gt;='IN-NX'!$P$3,B1068&lt;='IN-NX'!$Q$3,'IN-NX'!$D$7=D1068,OR(LEFT(TH!L1068,2)="15",LEFT(TH!M1068,2)="15")),"x","")</f>
        <v/>
      </c>
      <c r="Y1068" s="55" t="str">
        <f>IF(AND(OR(LEFT(TH!L1068,2)="15",LEFT(TH!M1068,2)="15"),'152-CT'!$J$8=TH!F1068),"x","")</f>
        <v/>
      </c>
      <c r="Z1068" s="55" t="str">
        <f>IF(AND(OR(LEFT(TH!L1068,2)="15",LEFT(TH!M1068,2)="15"),TK!$E$7=TH!F1068),"x","")</f>
        <v/>
      </c>
      <c r="AA1068" s="55" t="str">
        <f>IF(AND(B1068&lt;=NKC!$N$8,B1068&gt;=NKC!$M$8),"x","")</f>
        <v>x</v>
      </c>
      <c r="AC1068" s="226"/>
    </row>
    <row r="1069" spans="1:29" ht="15.75" customHeight="1">
      <c r="A1069" s="219" t="str">
        <f>IF(B1069&lt;&gt;"",IF(AND(B1069&gt;=_TM1,B1069&lt;=_TM2,OR(TH!L1069="1111",TH!M1069="1111")),TH!D1069,""),"")</f>
        <v/>
      </c>
      <c r="B1069" s="36">
        <f t="shared" si="39"/>
        <v>4</v>
      </c>
      <c r="C1069" s="205">
        <f t="shared" si="44"/>
        <v>41016</v>
      </c>
      <c r="D1069" s="904"/>
      <c r="E1069" s="904">
        <v>41016</v>
      </c>
      <c r="F1069" s="905" t="s">
        <v>1269</v>
      </c>
      <c r="G1069" s="577" t="s">
        <v>1270</v>
      </c>
      <c r="H1069" s="45" t="s">
        <v>1136</v>
      </c>
      <c r="I1069" s="277">
        <v>110</v>
      </c>
      <c r="J1069" s="277">
        <v>34000</v>
      </c>
      <c r="K1069" s="698">
        <f t="shared" si="46"/>
        <v>3740000</v>
      </c>
      <c r="L1069" s="208" t="s">
        <v>311</v>
      </c>
      <c r="M1069" s="208" t="s">
        <v>208</v>
      </c>
      <c r="N1069" s="55" t="str">
        <f>IF(AND('331-CT'!$E$7=TH!H1069,OR(L1069="331",M1069="331")),"x","")</f>
        <v/>
      </c>
      <c r="O1069" s="55" t="str">
        <f>IF(AND($B1069&gt;='111'!$N$11,$B1069&lt;='111'!$O$11,OR($L1069=$O$7,$M1069=$O$7)),"x","")</f>
        <v/>
      </c>
      <c r="P1069" s="55" t="str">
        <f>IF(AND($L1069=$O$7,$B1069&lt;'111'!$N$11),"x","")</f>
        <v/>
      </c>
      <c r="Q1069" s="55" t="str">
        <f>IF(AND($M1069=$O$7,$B1069&lt;'111'!$N$11),"x","")</f>
        <v/>
      </c>
      <c r="R1069" s="55" t="str">
        <f>IF(ISERROR(FIND('112'!$M$9,G1069,1)),"",IF((AND(FIND('112'!$M$9,G1069,1)&gt;=1,$B1069&gt;='112'!$N$8,$B1069&lt;='112'!$O$8,OR($L1069='112'!$I$6,$M1069='112'!$I$6))),"x",""))</f>
        <v/>
      </c>
      <c r="S1069" s="55" t="str">
        <f>IF(ISERROR(FIND('112'!$M$9,G1069,1)),"",IF((AND(LEFT(G1069,2)=LEFT('112'!$M$9,2),B1069&lt;'112'!$N$8,$L1069='112'!$I$6)),"x",""))</f>
        <v/>
      </c>
      <c r="T1069" s="55" t="str">
        <f>IF(ISERROR(FIND('112'!$M$9,G1069,1)),"",IF((AND(RIGHT(G1069,2)=RIGHT('112'!$M$9,2),B1069&lt;'112'!$N$8,$M1069='112'!$I$6)),"x",""))</f>
        <v/>
      </c>
      <c r="U1069" s="55" t="str">
        <f>IF(AND('3411-CT'!$F$9=H1069,OR(LEFT(L1069,3)=$U$7,LEFT(M1069,3)=$U$7)),"x","")</f>
        <v/>
      </c>
      <c r="V1069" s="55" t="str">
        <f>IF(OR(TH!L1069=TH!$V$7,M1069=TH!$V$7),"x","")</f>
        <v/>
      </c>
      <c r="W1069" s="55" t="str">
        <f>IF(AND(OR(L1069="131",M1069="131"),H1069='131-CT'!$E$7),"x","")</f>
        <v/>
      </c>
      <c r="X1069" s="55" t="str">
        <f>IF(AND(B1069&gt;='IN-NX'!$P$3,B1069&lt;='IN-NX'!$Q$3,'IN-NX'!$D$7=D1069,OR(LEFT(TH!L1069,2)="15",LEFT(TH!M1069,2)="15")),"x","")</f>
        <v/>
      </c>
      <c r="Y1069" s="55" t="str">
        <f>IF(AND(OR(LEFT(TH!L1069,2)="15",LEFT(TH!M1069,2)="15"),'152-CT'!$J$8=TH!F1069),"x","")</f>
        <v/>
      </c>
      <c r="Z1069" s="55" t="str">
        <f>IF(AND(OR(LEFT(TH!L1069,2)="15",LEFT(TH!M1069,2)="15"),TK!$E$7=TH!F1069),"x","")</f>
        <v/>
      </c>
      <c r="AA1069" s="55" t="str">
        <f>IF(AND(B1069&lt;=NKC!$N$8,B1069&gt;=NKC!$M$8),"x","")</f>
        <v>x</v>
      </c>
    </row>
    <row r="1070" spans="1:29" ht="15.75" customHeight="1">
      <c r="A1070" s="219" t="str">
        <f>IF(B1070&lt;&gt;"",IF(AND(B1070&gt;=_TM1,B1070&lt;=_TM2,OR(TH!L1070="1111",TH!M1070="1111")),TH!D1070,""),"")</f>
        <v/>
      </c>
      <c r="B1070" s="36">
        <f t="shared" si="39"/>
        <v>4</v>
      </c>
      <c r="C1070" s="205">
        <f t="shared" si="44"/>
        <v>41016</v>
      </c>
      <c r="D1070" s="904"/>
      <c r="E1070" s="904">
        <v>41016</v>
      </c>
      <c r="F1070" s="905" t="s">
        <v>1271</v>
      </c>
      <c r="G1070" s="577" t="s">
        <v>1270</v>
      </c>
      <c r="H1070" s="45" t="s">
        <v>1136</v>
      </c>
      <c r="I1070" s="277">
        <v>85</v>
      </c>
      <c r="J1070" s="277">
        <v>47000</v>
      </c>
      <c r="K1070" s="698">
        <f t="shared" si="46"/>
        <v>3995000</v>
      </c>
      <c r="L1070" s="208" t="s">
        <v>311</v>
      </c>
      <c r="M1070" s="208" t="s">
        <v>208</v>
      </c>
      <c r="N1070" s="55" t="str">
        <f>IF(AND('331-CT'!$E$7=TH!H1070,OR(L1070="331",M1070="331")),"x","")</f>
        <v/>
      </c>
      <c r="O1070" s="55" t="str">
        <f>IF(AND($B1070&gt;='111'!$N$11,$B1070&lt;='111'!$O$11,OR($L1070=$O$7,$M1070=$O$7)),"x","")</f>
        <v/>
      </c>
      <c r="P1070" s="55" t="str">
        <f>IF(AND($L1070=$O$7,$B1070&lt;'111'!$N$11),"x","")</f>
        <v/>
      </c>
      <c r="Q1070" s="55" t="str">
        <f>IF(AND($M1070=$O$7,$B1070&lt;'111'!$N$11),"x","")</f>
        <v/>
      </c>
      <c r="R1070" s="55" t="str">
        <f>IF(ISERROR(FIND('112'!$M$9,G1070,1)),"",IF((AND(FIND('112'!$M$9,G1070,1)&gt;=1,$B1070&gt;='112'!$N$8,$B1070&lt;='112'!$O$8,OR($L1070='112'!$I$6,$M1070='112'!$I$6))),"x",""))</f>
        <v/>
      </c>
      <c r="S1070" s="55" t="str">
        <f>IF(ISERROR(FIND('112'!$M$9,G1070,1)),"",IF((AND(LEFT(G1070,2)=LEFT('112'!$M$9,2),B1070&lt;'112'!$N$8,$L1070='112'!$I$6)),"x",""))</f>
        <v/>
      </c>
      <c r="T1070" s="55" t="str">
        <f>IF(ISERROR(FIND('112'!$M$9,G1070,1)),"",IF((AND(RIGHT(G1070,2)=RIGHT('112'!$M$9,2),B1070&lt;'112'!$N$8,$M1070='112'!$I$6)),"x",""))</f>
        <v/>
      </c>
      <c r="U1070" s="55" t="str">
        <f>IF(AND('3411-CT'!$F$9=H1070,OR(LEFT(L1070,3)=$U$7,LEFT(M1070,3)=$U$7)),"x","")</f>
        <v/>
      </c>
      <c r="V1070" s="55" t="str">
        <f>IF(OR(TH!L1070=TH!$V$7,M1070=TH!$V$7),"x","")</f>
        <v/>
      </c>
      <c r="W1070" s="55" t="str">
        <f>IF(AND(OR(L1070="131",M1070="131"),H1070='131-CT'!$E$7),"x","")</f>
        <v/>
      </c>
      <c r="X1070" s="55" t="str">
        <f>IF(AND(B1070&gt;='IN-NX'!$P$3,B1070&lt;='IN-NX'!$Q$3,'IN-NX'!$D$7=D1070,OR(LEFT(TH!L1070,2)="15",LEFT(TH!M1070,2)="15")),"x","")</f>
        <v/>
      </c>
      <c r="Y1070" s="55" t="str">
        <f>IF(AND(OR(LEFT(TH!L1070,2)="15",LEFT(TH!M1070,2)="15"),'152-CT'!$J$8=TH!F1070),"x","")</f>
        <v/>
      </c>
      <c r="Z1070" s="55" t="str">
        <f>IF(AND(OR(LEFT(TH!L1070,2)="15",LEFT(TH!M1070,2)="15"),TK!$E$7=TH!F1070),"x","")</f>
        <v/>
      </c>
      <c r="AA1070" s="55" t="str">
        <f>IF(AND(B1070&lt;=NKC!$N$8,B1070&gt;=NKC!$M$8),"x","")</f>
        <v>x</v>
      </c>
    </row>
    <row r="1071" spans="1:29" ht="15.75" customHeight="1">
      <c r="A1071" s="219" t="str">
        <f>IF(B1071&lt;&gt;"",IF(AND(B1071&gt;=_TM1,B1071&lt;=_TM2,OR(TH!L1071="1111",TH!M1071="1111")),TH!D1071,""),"")</f>
        <v/>
      </c>
      <c r="B1071" s="36">
        <f t="shared" si="39"/>
        <v>4</v>
      </c>
      <c r="C1071" s="205">
        <f t="shared" si="44"/>
        <v>41016</v>
      </c>
      <c r="D1071" s="904"/>
      <c r="E1071" s="904">
        <v>41016</v>
      </c>
      <c r="F1071" s="905" t="s">
        <v>1272</v>
      </c>
      <c r="G1071" s="577" t="s">
        <v>1270</v>
      </c>
      <c r="H1071" s="45" t="s">
        <v>1136</v>
      </c>
      <c r="I1071" s="275">
        <v>150</v>
      </c>
      <c r="J1071" s="275">
        <v>16480</v>
      </c>
      <c r="K1071" s="698">
        <f t="shared" si="46"/>
        <v>2472000</v>
      </c>
      <c r="L1071" s="208" t="s">
        <v>311</v>
      </c>
      <c r="M1071" s="208" t="s">
        <v>208</v>
      </c>
      <c r="N1071" s="55" t="str">
        <f>IF(AND('331-CT'!$E$7=TH!H1071,OR(L1071="331",M1071="331")),"x","")</f>
        <v/>
      </c>
      <c r="O1071" s="55" t="str">
        <f>IF(AND($B1071&gt;='111'!$N$11,$B1071&lt;='111'!$O$11,OR($L1071=$O$7,$M1071=$O$7)),"x","")</f>
        <v/>
      </c>
      <c r="P1071" s="55" t="str">
        <f>IF(AND($L1071=$O$7,$B1071&lt;'111'!$N$11),"x","")</f>
        <v/>
      </c>
      <c r="Q1071" s="55" t="str">
        <f>IF(AND($M1071=$O$7,$B1071&lt;'111'!$N$11),"x","")</f>
        <v/>
      </c>
      <c r="R1071" s="55" t="str">
        <f>IF(ISERROR(FIND('112'!$M$9,G1071,1)),"",IF((AND(FIND('112'!$M$9,G1071,1)&gt;=1,$B1071&gt;='112'!$N$8,$B1071&lt;='112'!$O$8,OR($L1071='112'!$I$6,$M1071='112'!$I$6))),"x",""))</f>
        <v/>
      </c>
      <c r="S1071" s="55" t="str">
        <f>IF(ISERROR(FIND('112'!$M$9,G1071,1)),"",IF((AND(LEFT(G1071,2)=LEFT('112'!$M$9,2),B1071&lt;'112'!$N$8,$L1071='112'!$I$6)),"x",""))</f>
        <v/>
      </c>
      <c r="T1071" s="55" t="str">
        <f>IF(ISERROR(FIND('112'!$M$9,G1071,1)),"",IF((AND(RIGHT(G1071,2)=RIGHT('112'!$M$9,2),B1071&lt;'112'!$N$8,$M1071='112'!$I$6)),"x",""))</f>
        <v/>
      </c>
      <c r="U1071" s="55" t="str">
        <f>IF(AND('3411-CT'!$F$9=H1071,OR(LEFT(L1071,3)=$U$7,LEFT(M1071,3)=$U$7)),"x","")</f>
        <v/>
      </c>
      <c r="V1071" s="55" t="str">
        <f>IF(OR(TH!L1071=TH!$V$7,M1071=TH!$V$7),"x","")</f>
        <v/>
      </c>
      <c r="W1071" s="55" t="str">
        <f>IF(AND(OR(L1071="131",M1071="131"),H1071='131-CT'!$E$7),"x","")</f>
        <v/>
      </c>
      <c r="X1071" s="55" t="str">
        <f>IF(AND(B1071&gt;='IN-NX'!$P$3,B1071&lt;='IN-NX'!$Q$3,'IN-NX'!$D$7=D1071,OR(LEFT(TH!L1071,2)="15",LEFT(TH!M1071,2)="15")),"x","")</f>
        <v/>
      </c>
      <c r="Y1071" s="55" t="str">
        <f>IF(AND(OR(LEFT(TH!L1071,2)="15",LEFT(TH!M1071,2)="15"),'152-CT'!$J$8=TH!F1071),"x","")</f>
        <v/>
      </c>
      <c r="Z1071" s="55" t="str">
        <f>IF(AND(OR(LEFT(TH!L1071,2)="15",LEFT(TH!M1071,2)="15"),TK!$E$7=TH!F1071),"x","")</f>
        <v/>
      </c>
      <c r="AA1071" s="55" t="str">
        <f>IF(AND(B1071&lt;=NKC!$N$8,B1071&gt;=NKC!$M$8),"x","")</f>
        <v>x</v>
      </c>
    </row>
    <row r="1072" spans="1:29" ht="15.75" customHeight="1">
      <c r="A1072" s="219" t="str">
        <f>IF(B1072&lt;&gt;"",IF(AND(B1072&gt;=_TM1,B1072&lt;=_TM2,OR(TH!L1072="1111",TH!M1072="1111")),TH!D1072,""),"")</f>
        <v/>
      </c>
      <c r="B1072" s="36">
        <f t="shared" si="39"/>
        <v>4</v>
      </c>
      <c r="C1072" s="205">
        <f t="shared" si="44"/>
        <v>41016</v>
      </c>
      <c r="D1072" s="904"/>
      <c r="E1072" s="904">
        <v>41016</v>
      </c>
      <c r="F1072" s="905" t="s">
        <v>1273</v>
      </c>
      <c r="G1072" s="577" t="s">
        <v>1270</v>
      </c>
      <c r="H1072" s="45" t="s">
        <v>1136</v>
      </c>
      <c r="I1072" s="275">
        <v>91</v>
      </c>
      <c r="J1072" s="275">
        <v>24875</v>
      </c>
      <c r="K1072" s="698">
        <f t="shared" si="46"/>
        <v>2263625</v>
      </c>
      <c r="L1072" s="208" t="s">
        <v>311</v>
      </c>
      <c r="M1072" s="208" t="s">
        <v>208</v>
      </c>
      <c r="N1072" s="55" t="str">
        <f>IF(AND('331-CT'!$E$7=TH!H1072,OR(L1072="331",M1072="331")),"x","")</f>
        <v/>
      </c>
      <c r="O1072" s="55" t="str">
        <f>IF(AND($B1072&gt;='111'!$N$11,$B1072&lt;='111'!$O$11,OR($L1072=$O$7,$M1072=$O$7)),"x","")</f>
        <v/>
      </c>
      <c r="P1072" s="55" t="str">
        <f>IF(AND($L1072=$O$7,$B1072&lt;'111'!$N$11),"x","")</f>
        <v/>
      </c>
      <c r="Q1072" s="55" t="str">
        <f>IF(AND($M1072=$O$7,$B1072&lt;'111'!$N$11),"x","")</f>
        <v/>
      </c>
      <c r="R1072" s="55" t="str">
        <f>IF(ISERROR(FIND('112'!$M$9,G1072,1)),"",IF((AND(FIND('112'!$M$9,G1072,1)&gt;=1,$B1072&gt;='112'!$N$8,$B1072&lt;='112'!$O$8,OR($L1072='112'!$I$6,$M1072='112'!$I$6))),"x",""))</f>
        <v/>
      </c>
      <c r="S1072" s="55" t="str">
        <f>IF(ISERROR(FIND('112'!$M$9,G1072,1)),"",IF((AND(LEFT(G1072,2)=LEFT('112'!$M$9,2),B1072&lt;'112'!$N$8,$L1072='112'!$I$6)),"x",""))</f>
        <v/>
      </c>
      <c r="T1072" s="55" t="str">
        <f>IF(ISERROR(FIND('112'!$M$9,G1072,1)),"",IF((AND(RIGHT(G1072,2)=RIGHT('112'!$M$9,2),B1072&lt;'112'!$N$8,$M1072='112'!$I$6)),"x",""))</f>
        <v/>
      </c>
      <c r="U1072" s="55" t="str">
        <f>IF(AND('3411-CT'!$F$9=H1072,OR(LEFT(L1072,3)=$U$7,LEFT(M1072,3)=$U$7)),"x","")</f>
        <v/>
      </c>
      <c r="V1072" s="55" t="str">
        <f>IF(OR(TH!L1072=TH!$V$7,M1072=TH!$V$7),"x","")</f>
        <v/>
      </c>
      <c r="W1072" s="55" t="str">
        <f>IF(AND(OR(L1072="131",M1072="131"),H1072='131-CT'!$E$7),"x","")</f>
        <v/>
      </c>
      <c r="X1072" s="55" t="str">
        <f>IF(AND(B1072&gt;='IN-NX'!$P$3,B1072&lt;='IN-NX'!$Q$3,'IN-NX'!$D$7=D1072,OR(LEFT(TH!L1072,2)="15",LEFT(TH!M1072,2)="15")),"x","")</f>
        <v/>
      </c>
      <c r="Y1072" s="55" t="str">
        <f>IF(AND(OR(LEFT(TH!L1072,2)="15",LEFT(TH!M1072,2)="15"),'152-CT'!$J$8=TH!F1072),"x","")</f>
        <v/>
      </c>
      <c r="Z1072" s="55" t="str">
        <f>IF(AND(OR(LEFT(TH!L1072,2)="15",LEFT(TH!M1072,2)="15"),TK!$E$7=TH!F1072),"x","")</f>
        <v/>
      </c>
      <c r="AA1072" s="55" t="str">
        <f>IF(AND(B1072&lt;=NKC!$N$8,B1072&gt;=NKC!$M$8),"x","")</f>
        <v>x</v>
      </c>
    </row>
    <row r="1073" spans="1:29" ht="15.75" customHeight="1">
      <c r="A1073" s="219" t="str">
        <f>IF(B1073&lt;&gt;"",IF(AND(B1073&gt;=_TM1,B1073&lt;=_TM2,OR(TH!L1073="1111",TH!M1073="1111")),TH!D1073,""),"")</f>
        <v/>
      </c>
      <c r="B1073" s="36">
        <f t="shared" si="39"/>
        <v>4</v>
      </c>
      <c r="C1073" s="205">
        <f t="shared" si="44"/>
        <v>41016</v>
      </c>
      <c r="D1073" s="904"/>
      <c r="E1073" s="904">
        <v>41016</v>
      </c>
      <c r="F1073" s="206" t="s">
        <v>1185</v>
      </c>
      <c r="G1073" s="577" t="s">
        <v>1270</v>
      </c>
      <c r="H1073" s="45" t="s">
        <v>1136</v>
      </c>
      <c r="I1073" s="277"/>
      <c r="J1073" s="277"/>
      <c r="K1073" s="698">
        <v>1247063</v>
      </c>
      <c r="L1073" s="208" t="s">
        <v>311</v>
      </c>
      <c r="M1073" s="208" t="s">
        <v>549</v>
      </c>
      <c r="N1073" s="55" t="str">
        <f>IF(AND('331-CT'!$E$7=TH!H1073,OR(L1073="331",M1073="331")),"x","")</f>
        <v/>
      </c>
      <c r="O1073" s="55" t="str">
        <f>IF(AND($B1073&gt;='111'!$N$11,$B1073&lt;='111'!$O$11,OR($L1073=$O$7,$M1073=$O$7)),"x","")</f>
        <v/>
      </c>
      <c r="P1073" s="55" t="str">
        <f>IF(AND($L1073=$O$7,$B1073&lt;'111'!$N$11),"x","")</f>
        <v/>
      </c>
      <c r="Q1073" s="55" t="str">
        <f>IF(AND($M1073=$O$7,$B1073&lt;'111'!$N$11),"x","")</f>
        <v/>
      </c>
      <c r="R1073" s="55" t="str">
        <f>IF(ISERROR(FIND('112'!$M$9,G1073,1)),"",IF((AND(FIND('112'!$M$9,G1073,1)&gt;=1,$B1073&gt;='112'!$N$8,$B1073&lt;='112'!$O$8,OR($L1073='112'!$I$6,$M1073='112'!$I$6))),"x",""))</f>
        <v/>
      </c>
      <c r="S1073" s="55" t="str">
        <f>IF(ISERROR(FIND('112'!$M$9,G1073,1)),"",IF((AND(LEFT(G1073,2)=LEFT('112'!$M$9,2),B1073&lt;'112'!$N$8,$L1073='112'!$I$6)),"x",""))</f>
        <v/>
      </c>
      <c r="T1073" s="55" t="str">
        <f>IF(ISERROR(FIND('112'!$M$9,G1073,1)),"",IF((AND(RIGHT(G1073,2)=RIGHT('112'!$M$9,2),B1073&lt;'112'!$N$8,$M1073='112'!$I$6)),"x",""))</f>
        <v/>
      </c>
      <c r="U1073" s="55" t="str">
        <f>IF(AND('3411-CT'!$F$9=H1073,OR(LEFT(L1073,3)=$U$7,LEFT(M1073,3)=$U$7)),"x","")</f>
        <v/>
      </c>
      <c r="V1073" s="55" t="str">
        <f>IF(OR(TH!L1073=TH!$V$7,M1073=TH!$V$7),"x","")</f>
        <v/>
      </c>
      <c r="W1073" s="55" t="str">
        <f>IF(AND(OR(L1073="131",M1073="131"),H1073='131-CT'!$E$7),"x","")</f>
        <v/>
      </c>
      <c r="X1073" s="55" t="str">
        <f>IF(AND(B1073&gt;='IN-NX'!$P$3,B1073&lt;='IN-NX'!$Q$3,'IN-NX'!$D$7=D1073,OR(LEFT(TH!L1073,2)="15",LEFT(TH!M1073,2)="15")),"x","")</f>
        <v/>
      </c>
      <c r="Y1073" s="55" t="str">
        <f>IF(AND(OR(LEFT(TH!L1073,2)="15",LEFT(TH!M1073,2)="15"),'152-CT'!$J$8=TH!F1073),"x","")</f>
        <v/>
      </c>
      <c r="Z1073" s="55" t="str">
        <f>IF(AND(OR(LEFT(TH!L1073,2)="15",LEFT(TH!M1073,2)="15"),TK!$E$7=TH!F1073),"x","")</f>
        <v/>
      </c>
      <c r="AA1073" s="55" t="str">
        <f>IF(AND(B1073&lt;=NKC!$N$8,B1073&gt;=NKC!$M$8),"x","")</f>
        <v>x</v>
      </c>
      <c r="AC1073" s="226"/>
    </row>
    <row r="1074" spans="1:29" ht="15.75" customHeight="1">
      <c r="A1074" s="219" t="str">
        <f>IF(B1074&lt;&gt;"",IF(AND(B1074&gt;=_TM1,B1074&lt;=_TM2,OR(TH!L1074="1111",TH!M1074="1111")),TH!D1074,""),"")</f>
        <v/>
      </c>
      <c r="B1074" s="36">
        <f t="shared" si="39"/>
        <v>4</v>
      </c>
      <c r="C1074" s="205">
        <f t="shared" si="44"/>
        <v>41020</v>
      </c>
      <c r="D1074" s="904"/>
      <c r="E1074" s="904">
        <v>41020</v>
      </c>
      <c r="F1074" s="905" t="s">
        <v>1274</v>
      </c>
      <c r="G1074" s="577" t="s">
        <v>1275</v>
      </c>
      <c r="H1074" s="207" t="s">
        <v>1176</v>
      </c>
      <c r="I1074" s="277">
        <v>400</v>
      </c>
      <c r="J1074" s="277">
        <v>2300</v>
      </c>
      <c r="K1074" s="698">
        <f t="shared" si="46"/>
        <v>920000</v>
      </c>
      <c r="L1074" s="208" t="s">
        <v>311</v>
      </c>
      <c r="M1074" s="208" t="s">
        <v>208</v>
      </c>
      <c r="N1074" s="55" t="str">
        <f>IF(AND('331-CT'!$E$7=TH!H1074,OR(L1074="331",M1074="331")),"x","")</f>
        <v/>
      </c>
      <c r="O1074" s="55" t="str">
        <f>IF(AND($B1074&gt;='111'!$N$11,$B1074&lt;='111'!$O$11,OR($L1074=$O$7,$M1074=$O$7)),"x","")</f>
        <v/>
      </c>
      <c r="P1074" s="55" t="str">
        <f>IF(AND($L1074=$O$7,$B1074&lt;'111'!$N$11),"x","")</f>
        <v/>
      </c>
      <c r="Q1074" s="55" t="str">
        <f>IF(AND($M1074=$O$7,$B1074&lt;'111'!$N$11),"x","")</f>
        <v/>
      </c>
      <c r="R1074" s="55" t="str">
        <f>IF(ISERROR(FIND('112'!$M$9,G1074,1)),"",IF((AND(FIND('112'!$M$9,G1074,1)&gt;=1,$B1074&gt;='112'!$N$8,$B1074&lt;='112'!$O$8,OR($L1074='112'!$I$6,$M1074='112'!$I$6))),"x",""))</f>
        <v/>
      </c>
      <c r="S1074" s="55" t="str">
        <f>IF(ISERROR(FIND('112'!$M$9,G1074,1)),"",IF((AND(LEFT(G1074,2)=LEFT('112'!$M$9,2),B1074&lt;'112'!$N$8,$L1074='112'!$I$6)),"x",""))</f>
        <v/>
      </c>
      <c r="T1074" s="55" t="str">
        <f>IF(ISERROR(FIND('112'!$M$9,G1074,1)),"",IF((AND(RIGHT(G1074,2)=RIGHT('112'!$M$9,2),B1074&lt;'112'!$N$8,$M1074='112'!$I$6)),"x",""))</f>
        <v/>
      </c>
      <c r="U1074" s="55" t="str">
        <f>IF(AND('3411-CT'!$F$9=H1074,OR(LEFT(L1074,3)=$U$7,LEFT(M1074,3)=$U$7)),"x","")</f>
        <v/>
      </c>
      <c r="V1074" s="55" t="str">
        <f>IF(OR(TH!L1074=TH!$V$7,M1074=TH!$V$7),"x","")</f>
        <v/>
      </c>
      <c r="W1074" s="55" t="str">
        <f>IF(AND(OR(L1074="131",M1074="131"),H1074='131-CT'!$E$7),"x","")</f>
        <v/>
      </c>
      <c r="X1074" s="55" t="str">
        <f>IF(AND(B1074&gt;='IN-NX'!$P$3,B1074&lt;='IN-NX'!$Q$3,'IN-NX'!$D$7=D1074,OR(LEFT(TH!L1074,2)="15",LEFT(TH!M1074,2)="15")),"x","")</f>
        <v/>
      </c>
      <c r="Y1074" s="55" t="str">
        <f>IF(AND(OR(LEFT(TH!L1074,2)="15",LEFT(TH!M1074,2)="15"),'152-CT'!$J$8=TH!F1074),"x","")</f>
        <v/>
      </c>
      <c r="Z1074" s="55" t="str">
        <f>IF(AND(OR(LEFT(TH!L1074,2)="15",LEFT(TH!M1074,2)="15"),TK!$E$7=TH!F1074),"x","")</f>
        <v/>
      </c>
      <c r="AA1074" s="55" t="str">
        <f>IF(AND(B1074&lt;=NKC!$N$8,B1074&gt;=NKC!$M$8),"x","")</f>
        <v>x</v>
      </c>
    </row>
    <row r="1075" spans="1:29" ht="15.75" customHeight="1">
      <c r="A1075" s="219" t="str">
        <f>IF(B1075&lt;&gt;"",IF(AND(B1075&gt;=_TM1,B1075&lt;=_TM2,OR(TH!L1075="1111",TH!M1075="1111")),TH!D1075,""),"")</f>
        <v/>
      </c>
      <c r="B1075" s="36">
        <f t="shared" si="39"/>
        <v>4</v>
      </c>
      <c r="C1075" s="205">
        <f t="shared" si="44"/>
        <v>41020</v>
      </c>
      <c r="D1075" s="904"/>
      <c r="E1075" s="904">
        <v>41020</v>
      </c>
      <c r="F1075" s="206" t="s">
        <v>1185</v>
      </c>
      <c r="G1075" s="577" t="s">
        <v>1275</v>
      </c>
      <c r="H1075" s="207" t="s">
        <v>1176</v>
      </c>
      <c r="I1075" s="277"/>
      <c r="J1075" s="277"/>
      <c r="K1075" s="698">
        <v>92000</v>
      </c>
      <c r="L1075" s="208" t="s">
        <v>311</v>
      </c>
      <c r="M1075" s="208" t="s">
        <v>549</v>
      </c>
      <c r="N1075" s="55" t="str">
        <f>IF(AND('331-CT'!$E$7=TH!H1075,OR(L1075="331",M1075="331")),"x","")</f>
        <v/>
      </c>
      <c r="O1075" s="55" t="str">
        <f>IF(AND($B1075&gt;='111'!$N$11,$B1075&lt;='111'!$O$11,OR($L1075=$O$7,$M1075=$O$7)),"x","")</f>
        <v/>
      </c>
      <c r="P1075" s="55" t="str">
        <f>IF(AND($L1075=$O$7,$B1075&lt;'111'!$N$11),"x","")</f>
        <v/>
      </c>
      <c r="Q1075" s="55" t="str">
        <f>IF(AND($M1075=$O$7,$B1075&lt;'111'!$N$11),"x","")</f>
        <v/>
      </c>
      <c r="R1075" s="55" t="str">
        <f>IF(ISERROR(FIND('112'!$M$9,G1075,1)),"",IF((AND(FIND('112'!$M$9,G1075,1)&gt;=1,$B1075&gt;='112'!$N$8,$B1075&lt;='112'!$O$8,OR($L1075='112'!$I$6,$M1075='112'!$I$6))),"x",""))</f>
        <v/>
      </c>
      <c r="S1075" s="55" t="str">
        <f>IF(ISERROR(FIND('112'!$M$9,G1075,1)),"",IF((AND(LEFT(G1075,2)=LEFT('112'!$M$9,2),B1075&lt;'112'!$N$8,$L1075='112'!$I$6)),"x",""))</f>
        <v/>
      </c>
      <c r="T1075" s="55" t="str">
        <f>IF(ISERROR(FIND('112'!$M$9,G1075,1)),"",IF((AND(RIGHT(G1075,2)=RIGHT('112'!$M$9,2),B1075&lt;'112'!$N$8,$M1075='112'!$I$6)),"x",""))</f>
        <v/>
      </c>
      <c r="U1075" s="55" t="str">
        <f>IF(AND('3411-CT'!$F$9=H1075,OR(LEFT(L1075,3)=$U$7,LEFT(M1075,3)=$U$7)),"x","")</f>
        <v/>
      </c>
      <c r="V1075" s="55" t="str">
        <f>IF(OR(TH!L1075=TH!$V$7,M1075=TH!$V$7),"x","")</f>
        <v/>
      </c>
      <c r="W1075" s="55" t="str">
        <f>IF(AND(OR(L1075="131",M1075="131"),H1075='131-CT'!$E$7),"x","")</f>
        <v/>
      </c>
      <c r="X1075" s="55" t="str">
        <f>IF(AND(B1075&gt;='IN-NX'!$P$3,B1075&lt;='IN-NX'!$Q$3,'IN-NX'!$D$7=D1075,OR(LEFT(TH!L1075,2)="15",LEFT(TH!M1075,2)="15")),"x","")</f>
        <v/>
      </c>
      <c r="Y1075" s="55" t="str">
        <f>IF(AND(OR(LEFT(TH!L1075,2)="15",LEFT(TH!M1075,2)="15"),'152-CT'!$J$8=TH!F1075),"x","")</f>
        <v/>
      </c>
      <c r="Z1075" s="55" t="str">
        <f>IF(AND(OR(LEFT(TH!L1075,2)="15",LEFT(TH!M1075,2)="15"),TK!$E$7=TH!F1075),"x","")</f>
        <v/>
      </c>
      <c r="AA1075" s="55" t="str">
        <f>IF(AND(B1075&lt;=NKC!$N$8,B1075&gt;=NKC!$M$8),"x","")</f>
        <v>x</v>
      </c>
      <c r="AC1075" s="226"/>
    </row>
    <row r="1076" spans="1:29" ht="15.75" customHeight="1">
      <c r="A1076" s="219" t="str">
        <f>IF(B1076&lt;&gt;"",IF(AND(B1076&gt;=_TM1,B1076&lt;=_TM2,OR(TH!L1076="1111",TH!M1076="1111")),TH!D1076,""),"")</f>
        <v/>
      </c>
      <c r="B1076" s="36">
        <f t="shared" si="39"/>
        <v>4</v>
      </c>
      <c r="C1076" s="205">
        <f t="shared" ref="C1076:C1139" si="47">E1076</f>
        <v>41023</v>
      </c>
      <c r="D1076" s="904"/>
      <c r="E1076" s="904">
        <v>41023</v>
      </c>
      <c r="F1076" s="905" t="s">
        <v>1276</v>
      </c>
      <c r="G1076" s="577" t="s">
        <v>1277</v>
      </c>
      <c r="H1076" s="207" t="s">
        <v>1278</v>
      </c>
      <c r="I1076" s="277">
        <v>480</v>
      </c>
      <c r="J1076" s="277">
        <v>5960</v>
      </c>
      <c r="K1076" s="698">
        <f t="shared" si="46"/>
        <v>2860800</v>
      </c>
      <c r="L1076" s="208" t="s">
        <v>49</v>
      </c>
      <c r="M1076" s="208" t="s">
        <v>208</v>
      </c>
      <c r="N1076" s="55" t="str">
        <f>IF(AND('331-CT'!$E$7=TH!H1076,OR(L1076="331",M1076="331")),"x","")</f>
        <v/>
      </c>
      <c r="O1076" s="55" t="str">
        <f>IF(AND($B1076&gt;='111'!$N$11,$B1076&lt;='111'!$O$11,OR($L1076=$O$7,$M1076=$O$7)),"x","")</f>
        <v/>
      </c>
      <c r="P1076" s="55" t="str">
        <f>IF(AND($L1076=$O$7,$B1076&lt;'111'!$N$11),"x","")</f>
        <v>x</v>
      </c>
      <c r="Q1076" s="55" t="str">
        <f>IF(AND($M1076=$O$7,$B1076&lt;'111'!$N$11),"x","")</f>
        <v/>
      </c>
      <c r="R1076" s="55" t="str">
        <f>IF(ISERROR(FIND('112'!$M$9,G1076,1)),"",IF((AND(FIND('112'!$M$9,G1076,1)&gt;=1,$B1076&gt;='112'!$N$8,$B1076&lt;='112'!$O$8,OR($L1076='112'!$I$6,$M1076='112'!$I$6))),"x",""))</f>
        <v/>
      </c>
      <c r="S1076" s="55" t="str">
        <f>IF(ISERROR(FIND('112'!$M$9,G1076,1)),"",IF((AND(LEFT(G1076,2)=LEFT('112'!$M$9,2),B1076&lt;'112'!$N$8,$L1076='112'!$I$6)),"x",""))</f>
        <v/>
      </c>
      <c r="T1076" s="55" t="str">
        <f>IF(ISERROR(FIND('112'!$M$9,G1076,1)),"",IF((AND(RIGHT(G1076,2)=RIGHT('112'!$M$9,2),B1076&lt;'112'!$N$8,$M1076='112'!$I$6)),"x",""))</f>
        <v/>
      </c>
      <c r="U1076" s="55" t="str">
        <f>IF(AND('3411-CT'!$F$9=H1076,OR(LEFT(L1076,3)=$U$7,LEFT(M1076,3)=$U$7)),"x","")</f>
        <v/>
      </c>
      <c r="V1076" s="55" t="str">
        <f>IF(OR(TH!L1076=TH!$V$7,M1076=TH!$V$7),"x","")</f>
        <v/>
      </c>
      <c r="W1076" s="55" t="str">
        <f>IF(AND(OR(L1076="131",M1076="131"),H1076='131-CT'!$E$7),"x","")</f>
        <v/>
      </c>
      <c r="X1076" s="55" t="str">
        <f>IF(AND(B1076&gt;='IN-NX'!$P$3,B1076&lt;='IN-NX'!$Q$3,'IN-NX'!$D$7=D1076,OR(LEFT(TH!L1076,2)="15",LEFT(TH!M1076,2)="15")),"x","")</f>
        <v/>
      </c>
      <c r="Y1076" s="55" t="str">
        <f>IF(AND(OR(LEFT(TH!L1076,2)="15",LEFT(TH!M1076,2)="15"),'152-CT'!$J$8=TH!F1076),"x","")</f>
        <v/>
      </c>
      <c r="Z1076" s="55" t="str">
        <f>IF(AND(OR(LEFT(TH!L1076,2)="15",LEFT(TH!M1076,2)="15"),TK!$E$7=TH!F1076),"x","")</f>
        <v/>
      </c>
      <c r="AA1076" s="55" t="str">
        <f>IF(AND(B1076&lt;=NKC!$N$8,B1076&gt;=NKC!$M$8),"x","")</f>
        <v>x</v>
      </c>
    </row>
    <row r="1077" spans="1:29" ht="15.75" customHeight="1">
      <c r="A1077" s="219" t="str">
        <f>IF(B1077&lt;&gt;"",IF(AND(B1077&gt;=_TM1,B1077&lt;=_TM2,OR(TH!L1077="1111",TH!M1077="1111")),TH!D1077,""),"")</f>
        <v/>
      </c>
      <c r="B1077" s="36">
        <f t="shared" si="39"/>
        <v>4</v>
      </c>
      <c r="C1077" s="205">
        <f t="shared" si="47"/>
        <v>41023</v>
      </c>
      <c r="D1077" s="904"/>
      <c r="E1077" s="904">
        <v>41023</v>
      </c>
      <c r="F1077" s="905" t="s">
        <v>1279</v>
      </c>
      <c r="G1077" s="577" t="s">
        <v>1277</v>
      </c>
      <c r="H1077" s="207" t="s">
        <v>1278</v>
      </c>
      <c r="I1077" s="899">
        <v>933</v>
      </c>
      <c r="J1077" s="899">
        <v>6640</v>
      </c>
      <c r="K1077" s="698">
        <f t="shared" si="46"/>
        <v>6195120</v>
      </c>
      <c r="L1077" s="208" t="s">
        <v>49</v>
      </c>
      <c r="M1077" s="208" t="s">
        <v>208</v>
      </c>
      <c r="N1077" s="55" t="str">
        <f>IF(AND('331-CT'!$E$7=TH!H1077,OR(L1077="331",M1077="331")),"x","")</f>
        <v/>
      </c>
      <c r="O1077" s="55" t="str">
        <f>IF(AND($B1077&gt;='111'!$N$11,$B1077&lt;='111'!$O$11,OR($L1077=$O$7,$M1077=$O$7)),"x","")</f>
        <v/>
      </c>
      <c r="P1077" s="55" t="str">
        <f>IF(AND($L1077=$O$7,$B1077&lt;'111'!$N$11),"x","")</f>
        <v>x</v>
      </c>
      <c r="Q1077" s="55" t="str">
        <f>IF(AND($M1077=$O$7,$B1077&lt;'111'!$N$11),"x","")</f>
        <v/>
      </c>
      <c r="R1077" s="55" t="str">
        <f>IF(ISERROR(FIND('112'!$M$9,G1077,1)),"",IF((AND(FIND('112'!$M$9,G1077,1)&gt;=1,$B1077&gt;='112'!$N$8,$B1077&lt;='112'!$O$8,OR($L1077='112'!$I$6,$M1077='112'!$I$6))),"x",""))</f>
        <v/>
      </c>
      <c r="S1077" s="55" t="str">
        <f>IF(ISERROR(FIND('112'!$M$9,G1077,1)),"",IF((AND(LEFT(G1077,2)=LEFT('112'!$M$9,2),B1077&lt;'112'!$N$8,$L1077='112'!$I$6)),"x",""))</f>
        <v/>
      </c>
      <c r="T1077" s="55" t="str">
        <f>IF(ISERROR(FIND('112'!$M$9,G1077,1)),"",IF((AND(RIGHT(G1077,2)=RIGHT('112'!$M$9,2),B1077&lt;'112'!$N$8,$M1077='112'!$I$6)),"x",""))</f>
        <v/>
      </c>
      <c r="U1077" s="55" t="str">
        <f>IF(AND('3411-CT'!$F$9=H1077,OR(LEFT(L1077,3)=$U$7,LEFT(M1077,3)=$U$7)),"x","")</f>
        <v/>
      </c>
      <c r="V1077" s="55" t="str">
        <f>IF(OR(TH!L1077=TH!$V$7,M1077=TH!$V$7),"x","")</f>
        <v/>
      </c>
      <c r="W1077" s="55" t="str">
        <f>IF(AND(OR(L1077="131",M1077="131"),H1077='131-CT'!$E$7),"x","")</f>
        <v/>
      </c>
      <c r="X1077" s="55" t="str">
        <f>IF(AND(B1077&gt;='IN-NX'!$P$3,B1077&lt;='IN-NX'!$Q$3,'IN-NX'!$D$7=D1077,OR(LEFT(TH!L1077,2)="15",LEFT(TH!M1077,2)="15")),"x","")</f>
        <v/>
      </c>
      <c r="Y1077" s="55" t="str">
        <f>IF(AND(OR(LEFT(TH!L1077,2)="15",LEFT(TH!M1077,2)="15"),'152-CT'!$J$8=TH!F1077),"x","")</f>
        <v/>
      </c>
      <c r="Z1077" s="55" t="str">
        <f>IF(AND(OR(LEFT(TH!L1077,2)="15",LEFT(TH!M1077,2)="15"),TK!$E$7=TH!F1077),"x","")</f>
        <v/>
      </c>
      <c r="AA1077" s="55" t="str">
        <f>IF(AND(B1077&lt;=NKC!$N$8,B1077&gt;=NKC!$M$8),"x","")</f>
        <v>x</v>
      </c>
    </row>
    <row r="1078" spans="1:29" ht="15.75" customHeight="1">
      <c r="A1078" s="219" t="str">
        <f>IF(B1078&lt;&gt;"",IF(AND(B1078&gt;=_TM1,B1078&lt;=_TM2,OR(TH!L1078="1111",TH!M1078="1111")),TH!D1078,""),"")</f>
        <v/>
      </c>
      <c r="B1078" s="36">
        <f t="shared" si="39"/>
        <v>4</v>
      </c>
      <c r="C1078" s="205">
        <f t="shared" si="47"/>
        <v>41023</v>
      </c>
      <c r="D1078" s="904"/>
      <c r="E1078" s="904">
        <v>41023</v>
      </c>
      <c r="F1078" s="206" t="s">
        <v>1185</v>
      </c>
      <c r="G1078" s="577" t="s">
        <v>1277</v>
      </c>
      <c r="H1078" s="207" t="s">
        <v>1278</v>
      </c>
      <c r="I1078" s="277"/>
      <c r="J1078" s="277"/>
      <c r="K1078" s="698">
        <v>1120152</v>
      </c>
      <c r="L1078" s="208" t="s">
        <v>49</v>
      </c>
      <c r="M1078" s="208" t="s">
        <v>549</v>
      </c>
      <c r="N1078" s="55" t="str">
        <f>IF(AND('331-CT'!$E$7=TH!H1078,OR(L1078="331",M1078="331")),"x","")</f>
        <v/>
      </c>
      <c r="O1078" s="55" t="str">
        <f>IF(AND($B1078&gt;='111'!$N$11,$B1078&lt;='111'!$O$11,OR($L1078=$O$7,$M1078=$O$7)),"x","")</f>
        <v/>
      </c>
      <c r="P1078" s="55" t="str">
        <f>IF(AND($L1078=$O$7,$B1078&lt;'111'!$N$11),"x","")</f>
        <v>x</v>
      </c>
      <c r="Q1078" s="55" t="str">
        <f>IF(AND($M1078=$O$7,$B1078&lt;'111'!$N$11),"x","")</f>
        <v/>
      </c>
      <c r="R1078" s="55" t="str">
        <f>IF(ISERROR(FIND('112'!$M$9,G1078,1)),"",IF((AND(FIND('112'!$M$9,G1078,1)&gt;=1,$B1078&gt;='112'!$N$8,$B1078&lt;='112'!$O$8,OR($L1078='112'!$I$6,$M1078='112'!$I$6))),"x",""))</f>
        <v/>
      </c>
      <c r="S1078" s="55" t="str">
        <f>IF(ISERROR(FIND('112'!$M$9,G1078,1)),"",IF((AND(LEFT(G1078,2)=LEFT('112'!$M$9,2),B1078&lt;'112'!$N$8,$L1078='112'!$I$6)),"x",""))</f>
        <v/>
      </c>
      <c r="T1078" s="55" t="str">
        <f>IF(ISERROR(FIND('112'!$M$9,G1078,1)),"",IF((AND(RIGHT(G1078,2)=RIGHT('112'!$M$9,2),B1078&lt;'112'!$N$8,$M1078='112'!$I$6)),"x",""))</f>
        <v/>
      </c>
      <c r="U1078" s="55" t="str">
        <f>IF(AND('3411-CT'!$F$9=H1078,OR(LEFT(L1078,3)=$U$7,LEFT(M1078,3)=$U$7)),"x","")</f>
        <v/>
      </c>
      <c r="V1078" s="55" t="str">
        <f>IF(OR(TH!L1078=TH!$V$7,M1078=TH!$V$7),"x","")</f>
        <v/>
      </c>
      <c r="W1078" s="55" t="str">
        <f>IF(AND(OR(L1078="131",M1078="131"),H1078='131-CT'!$E$7),"x","")</f>
        <v/>
      </c>
      <c r="X1078" s="55" t="str">
        <f>IF(AND(B1078&gt;='IN-NX'!$P$3,B1078&lt;='IN-NX'!$Q$3,'IN-NX'!$D$7=D1078,OR(LEFT(TH!L1078,2)="15",LEFT(TH!M1078,2)="15")),"x","")</f>
        <v/>
      </c>
      <c r="Y1078" s="55" t="str">
        <f>IF(AND(OR(LEFT(TH!L1078,2)="15",LEFT(TH!M1078,2)="15"),'152-CT'!$J$8=TH!F1078),"x","")</f>
        <v/>
      </c>
      <c r="Z1078" s="55" t="str">
        <f>IF(AND(OR(LEFT(TH!L1078,2)="15",LEFT(TH!M1078,2)="15"),TK!$E$7=TH!F1078),"x","")</f>
        <v/>
      </c>
      <c r="AA1078" s="55" t="str">
        <f>IF(AND(B1078&lt;=NKC!$N$8,B1078&gt;=NKC!$M$8),"x","")</f>
        <v>x</v>
      </c>
      <c r="AC1078" s="226"/>
    </row>
    <row r="1079" spans="1:29" ht="15.75" customHeight="1">
      <c r="A1079" s="219" t="str">
        <f>IF(B1079&lt;&gt;"",IF(AND(B1079&gt;=_TM1,B1079&lt;=_TM2,OR(TH!L1079="1111",TH!M1079="1111")),TH!D1079,""),"")</f>
        <v/>
      </c>
      <c r="B1079" s="36">
        <f t="shared" si="39"/>
        <v>4</v>
      </c>
      <c r="C1079" s="205">
        <f t="shared" si="47"/>
        <v>41023</v>
      </c>
      <c r="D1079" s="904"/>
      <c r="E1079" s="904">
        <v>41023</v>
      </c>
      <c r="F1079" s="905" t="s">
        <v>1280</v>
      </c>
      <c r="G1079" s="577" t="s">
        <v>1281</v>
      </c>
      <c r="H1079" s="7" t="s">
        <v>1132</v>
      </c>
      <c r="I1079" s="277">
        <v>500</v>
      </c>
      <c r="J1079" s="277">
        <v>5800</v>
      </c>
      <c r="K1079" s="698">
        <f t="shared" si="46"/>
        <v>2900000</v>
      </c>
      <c r="L1079" s="208" t="s">
        <v>311</v>
      </c>
      <c r="M1079" s="208" t="s">
        <v>208</v>
      </c>
      <c r="N1079" s="55" t="str">
        <f>IF(AND('331-CT'!$E$7=TH!H1079,OR(L1079="331",M1079="331")),"x","")</f>
        <v/>
      </c>
      <c r="O1079" s="55" t="str">
        <f>IF(AND($B1079&gt;='111'!$N$11,$B1079&lt;='111'!$O$11,OR($L1079=$O$7,$M1079=$O$7)),"x","")</f>
        <v/>
      </c>
      <c r="P1079" s="55" t="str">
        <f>IF(AND($L1079=$O$7,$B1079&lt;'111'!$N$11),"x","")</f>
        <v/>
      </c>
      <c r="Q1079" s="55" t="str">
        <f>IF(AND($M1079=$O$7,$B1079&lt;'111'!$N$11),"x","")</f>
        <v/>
      </c>
      <c r="R1079" s="55" t="str">
        <f>IF(ISERROR(FIND('112'!$M$9,G1079,1)),"",IF((AND(FIND('112'!$M$9,G1079,1)&gt;=1,$B1079&gt;='112'!$N$8,$B1079&lt;='112'!$O$8,OR($L1079='112'!$I$6,$M1079='112'!$I$6))),"x",""))</f>
        <v/>
      </c>
      <c r="S1079" s="55" t="str">
        <f>IF(ISERROR(FIND('112'!$M$9,G1079,1)),"",IF((AND(LEFT(G1079,2)=LEFT('112'!$M$9,2),B1079&lt;'112'!$N$8,$L1079='112'!$I$6)),"x",""))</f>
        <v/>
      </c>
      <c r="T1079" s="55" t="str">
        <f>IF(ISERROR(FIND('112'!$M$9,G1079,1)),"",IF((AND(RIGHT(G1079,2)=RIGHT('112'!$M$9,2),B1079&lt;'112'!$N$8,$M1079='112'!$I$6)),"x",""))</f>
        <v/>
      </c>
      <c r="U1079" s="55" t="str">
        <f>IF(AND('3411-CT'!$F$9=H1079,OR(LEFT(L1079,3)=$U$7,LEFT(M1079,3)=$U$7)),"x","")</f>
        <v/>
      </c>
      <c r="V1079" s="55" t="str">
        <f>IF(OR(TH!L1079=TH!$V$7,M1079=TH!$V$7),"x","")</f>
        <v/>
      </c>
      <c r="W1079" s="55" t="str">
        <f>IF(AND(OR(L1079="131",M1079="131"),H1079='131-CT'!$E$7),"x","")</f>
        <v/>
      </c>
      <c r="X1079" s="55" t="str">
        <f>IF(AND(B1079&gt;='IN-NX'!$P$3,B1079&lt;='IN-NX'!$Q$3,'IN-NX'!$D$7=D1079,OR(LEFT(TH!L1079,2)="15",LEFT(TH!M1079,2)="15")),"x","")</f>
        <v/>
      </c>
      <c r="Y1079" s="55" t="str">
        <f>IF(AND(OR(LEFT(TH!L1079,2)="15",LEFT(TH!M1079,2)="15"),'152-CT'!$J$8=TH!F1079),"x","")</f>
        <v/>
      </c>
      <c r="Z1079" s="55" t="str">
        <f>IF(AND(OR(LEFT(TH!L1079,2)="15",LEFT(TH!M1079,2)="15"),TK!$E$7=TH!F1079),"x","")</f>
        <v/>
      </c>
      <c r="AA1079" s="55" t="str">
        <f>IF(AND(B1079&lt;=NKC!$N$8,B1079&gt;=NKC!$M$8),"x","")</f>
        <v>x</v>
      </c>
    </row>
    <row r="1080" spans="1:29" ht="15.75" customHeight="1">
      <c r="A1080" s="219" t="str">
        <f>IF(B1080&lt;&gt;"",IF(AND(B1080&gt;=_TM1,B1080&lt;=_TM2,OR(TH!L1080="1111",TH!M1080="1111")),TH!D1080,""),"")</f>
        <v/>
      </c>
      <c r="B1080" s="36">
        <f t="shared" si="39"/>
        <v>4</v>
      </c>
      <c r="C1080" s="205">
        <f t="shared" si="47"/>
        <v>41023</v>
      </c>
      <c r="D1080" s="904"/>
      <c r="E1080" s="904">
        <v>41023</v>
      </c>
      <c r="F1080" s="206" t="s">
        <v>1185</v>
      </c>
      <c r="G1080" s="577" t="s">
        <v>1281</v>
      </c>
      <c r="H1080" s="7" t="s">
        <v>1132</v>
      </c>
      <c r="I1080" s="277"/>
      <c r="J1080" s="277"/>
      <c r="K1080" s="698">
        <v>290000</v>
      </c>
      <c r="L1080" s="208" t="s">
        <v>311</v>
      </c>
      <c r="M1080" s="208" t="s">
        <v>549</v>
      </c>
      <c r="N1080" s="55" t="str">
        <f>IF(AND('331-CT'!$E$7=TH!H1080,OR(L1080="331",M1080="331")),"x","")</f>
        <v/>
      </c>
      <c r="O1080" s="55" t="str">
        <f>IF(AND($B1080&gt;='111'!$N$11,$B1080&lt;='111'!$O$11,OR($L1080=$O$7,$M1080=$O$7)),"x","")</f>
        <v/>
      </c>
      <c r="P1080" s="55" t="str">
        <f>IF(AND($L1080=$O$7,$B1080&lt;'111'!$N$11),"x","")</f>
        <v/>
      </c>
      <c r="Q1080" s="55" t="str">
        <f>IF(AND($M1080=$O$7,$B1080&lt;'111'!$N$11),"x","")</f>
        <v/>
      </c>
      <c r="R1080" s="55" t="str">
        <f>IF(ISERROR(FIND('112'!$M$9,G1080,1)),"",IF((AND(FIND('112'!$M$9,G1080,1)&gt;=1,$B1080&gt;='112'!$N$8,$B1080&lt;='112'!$O$8,OR($L1080='112'!$I$6,$M1080='112'!$I$6))),"x",""))</f>
        <v/>
      </c>
      <c r="S1080" s="55" t="str">
        <f>IF(ISERROR(FIND('112'!$M$9,G1080,1)),"",IF((AND(LEFT(G1080,2)=LEFT('112'!$M$9,2),B1080&lt;'112'!$N$8,$L1080='112'!$I$6)),"x",""))</f>
        <v/>
      </c>
      <c r="T1080" s="55" t="str">
        <f>IF(ISERROR(FIND('112'!$M$9,G1080,1)),"",IF((AND(RIGHT(G1080,2)=RIGHT('112'!$M$9,2),B1080&lt;'112'!$N$8,$M1080='112'!$I$6)),"x",""))</f>
        <v/>
      </c>
      <c r="U1080" s="55" t="str">
        <f>IF(AND('3411-CT'!$F$9=H1080,OR(LEFT(L1080,3)=$U$7,LEFT(M1080,3)=$U$7)),"x","")</f>
        <v/>
      </c>
      <c r="V1080" s="55" t="str">
        <f>IF(OR(TH!L1080=TH!$V$7,M1080=TH!$V$7),"x","")</f>
        <v/>
      </c>
      <c r="W1080" s="55" t="str">
        <f>IF(AND(OR(L1080="131",M1080="131"),H1080='131-CT'!$E$7),"x","")</f>
        <v/>
      </c>
      <c r="X1080" s="55" t="str">
        <f>IF(AND(B1080&gt;='IN-NX'!$P$3,B1080&lt;='IN-NX'!$Q$3,'IN-NX'!$D$7=D1080,OR(LEFT(TH!L1080,2)="15",LEFT(TH!M1080,2)="15")),"x","")</f>
        <v/>
      </c>
      <c r="Y1080" s="55" t="str">
        <f>IF(AND(OR(LEFT(TH!L1080,2)="15",LEFT(TH!M1080,2)="15"),'152-CT'!$J$8=TH!F1080),"x","")</f>
        <v/>
      </c>
      <c r="Z1080" s="55" t="str">
        <f>IF(AND(OR(LEFT(TH!L1080,2)="15",LEFT(TH!M1080,2)="15"),TK!$E$7=TH!F1080),"x","")</f>
        <v/>
      </c>
      <c r="AA1080" s="55" t="str">
        <f>IF(AND(B1080&lt;=NKC!$N$8,B1080&gt;=NKC!$M$8),"x","")</f>
        <v>x</v>
      </c>
      <c r="AC1080" s="226"/>
    </row>
    <row r="1081" spans="1:29" ht="15.75" customHeight="1">
      <c r="A1081" s="219" t="str">
        <f>IF(B1081&lt;&gt;"",IF(AND(B1081&gt;=_TM1,B1081&lt;=_TM2,OR(TH!L1081="1111",TH!M1081="1111")),TH!D1081,""),"")</f>
        <v/>
      </c>
      <c r="B1081" s="36">
        <f t="shared" si="39"/>
        <v>4</v>
      </c>
      <c r="C1081" s="205">
        <f t="shared" si="47"/>
        <v>41025</v>
      </c>
      <c r="D1081" s="904"/>
      <c r="E1081" s="904">
        <v>41025</v>
      </c>
      <c r="F1081" s="905" t="s">
        <v>1282</v>
      </c>
      <c r="G1081" s="577" t="s">
        <v>1283</v>
      </c>
      <c r="H1081" s="207" t="s">
        <v>1207</v>
      </c>
      <c r="I1081" s="277">
        <v>190</v>
      </c>
      <c r="J1081" s="277">
        <v>6585</v>
      </c>
      <c r="K1081" s="698">
        <f t="shared" si="46"/>
        <v>1251150</v>
      </c>
      <c r="L1081" s="208" t="s">
        <v>49</v>
      </c>
      <c r="M1081" s="208" t="s">
        <v>208</v>
      </c>
      <c r="N1081" s="55" t="str">
        <f>IF(AND('331-CT'!$E$7=TH!H1081,OR(L1081="331",M1081="331")),"x","")</f>
        <v/>
      </c>
      <c r="O1081" s="55" t="str">
        <f>IF(AND($B1081&gt;='111'!$N$11,$B1081&lt;='111'!$O$11,OR($L1081=$O$7,$M1081=$O$7)),"x","")</f>
        <v/>
      </c>
      <c r="P1081" s="55" t="str">
        <f>IF(AND($L1081=$O$7,$B1081&lt;'111'!$N$11),"x","")</f>
        <v>x</v>
      </c>
      <c r="Q1081" s="55" t="str">
        <f>IF(AND($M1081=$O$7,$B1081&lt;'111'!$N$11),"x","")</f>
        <v/>
      </c>
      <c r="R1081" s="55" t="str">
        <f>IF(ISERROR(FIND('112'!$M$9,G1081,1)),"",IF((AND(FIND('112'!$M$9,G1081,1)&gt;=1,$B1081&gt;='112'!$N$8,$B1081&lt;='112'!$O$8,OR($L1081='112'!$I$6,$M1081='112'!$I$6))),"x",""))</f>
        <v/>
      </c>
      <c r="S1081" s="55" t="str">
        <f>IF(ISERROR(FIND('112'!$M$9,G1081,1)),"",IF((AND(LEFT(G1081,2)=LEFT('112'!$M$9,2),B1081&lt;'112'!$N$8,$L1081='112'!$I$6)),"x",""))</f>
        <v/>
      </c>
      <c r="T1081" s="55" t="str">
        <f>IF(ISERROR(FIND('112'!$M$9,G1081,1)),"",IF((AND(RIGHT(G1081,2)=RIGHT('112'!$M$9,2),B1081&lt;'112'!$N$8,$M1081='112'!$I$6)),"x",""))</f>
        <v/>
      </c>
      <c r="U1081" s="55" t="str">
        <f>IF(AND('3411-CT'!$F$9=H1081,OR(LEFT(L1081,3)=$U$7,LEFT(M1081,3)=$U$7)),"x","")</f>
        <v/>
      </c>
      <c r="V1081" s="55" t="str">
        <f>IF(OR(TH!L1081=TH!$V$7,M1081=TH!$V$7),"x","")</f>
        <v/>
      </c>
      <c r="W1081" s="55" t="str">
        <f>IF(AND(OR(L1081="131",M1081="131"),H1081='131-CT'!$E$7),"x","")</f>
        <v/>
      </c>
      <c r="X1081" s="55" t="str">
        <f>IF(AND(B1081&gt;='IN-NX'!$P$3,B1081&lt;='IN-NX'!$Q$3,'IN-NX'!$D$7=D1081,OR(LEFT(TH!L1081,2)="15",LEFT(TH!M1081,2)="15")),"x","")</f>
        <v/>
      </c>
      <c r="Y1081" s="55" t="str">
        <f>IF(AND(OR(LEFT(TH!L1081,2)="15",LEFT(TH!M1081,2)="15"),'152-CT'!$J$8=TH!F1081),"x","")</f>
        <v/>
      </c>
      <c r="Z1081" s="55" t="str">
        <f>IF(AND(OR(LEFT(TH!L1081,2)="15",LEFT(TH!M1081,2)="15"),TK!$E$7=TH!F1081),"x","")</f>
        <v/>
      </c>
      <c r="AA1081" s="55" t="str">
        <f>IF(AND(B1081&lt;=NKC!$N$8,B1081&gt;=NKC!$M$8),"x","")</f>
        <v>x</v>
      </c>
    </row>
    <row r="1082" spans="1:29" ht="15.75" customHeight="1">
      <c r="A1082" s="219" t="str">
        <f>IF(B1082&lt;&gt;"",IF(AND(B1082&gt;=_TM1,B1082&lt;=_TM2,OR(TH!L1082="1111",TH!M1082="1111")),TH!D1082,""),"")</f>
        <v/>
      </c>
      <c r="B1082" s="36">
        <f t="shared" si="39"/>
        <v>4</v>
      </c>
      <c r="C1082" s="205">
        <f t="shared" si="47"/>
        <v>41025</v>
      </c>
      <c r="D1082" s="904"/>
      <c r="E1082" s="904">
        <v>41025</v>
      </c>
      <c r="F1082" s="905" t="s">
        <v>1284</v>
      </c>
      <c r="G1082" s="577" t="s">
        <v>1283</v>
      </c>
      <c r="H1082" s="207" t="s">
        <v>1207</v>
      </c>
      <c r="I1082" s="277">
        <v>206</v>
      </c>
      <c r="J1082" s="277">
        <v>6700</v>
      </c>
      <c r="K1082" s="698">
        <f t="shared" si="46"/>
        <v>1380200</v>
      </c>
      <c r="L1082" s="208" t="s">
        <v>49</v>
      </c>
      <c r="M1082" s="208" t="s">
        <v>208</v>
      </c>
      <c r="N1082" s="55" t="str">
        <f>IF(AND('331-CT'!$E$7=TH!H1082,OR(L1082="331",M1082="331")),"x","")</f>
        <v/>
      </c>
      <c r="O1082" s="55" t="str">
        <f>IF(AND($B1082&gt;='111'!$N$11,$B1082&lt;='111'!$O$11,OR($L1082=$O$7,$M1082=$O$7)),"x","")</f>
        <v/>
      </c>
      <c r="P1082" s="55" t="str">
        <f>IF(AND($L1082=$O$7,$B1082&lt;'111'!$N$11),"x","")</f>
        <v>x</v>
      </c>
      <c r="Q1082" s="55" t="str">
        <f>IF(AND($M1082=$O$7,$B1082&lt;'111'!$N$11),"x","")</f>
        <v/>
      </c>
      <c r="R1082" s="55" t="str">
        <f>IF(ISERROR(FIND('112'!$M$9,G1082,1)),"",IF((AND(FIND('112'!$M$9,G1082,1)&gt;=1,$B1082&gt;='112'!$N$8,$B1082&lt;='112'!$O$8,OR($L1082='112'!$I$6,$M1082='112'!$I$6))),"x",""))</f>
        <v/>
      </c>
      <c r="S1082" s="55" t="str">
        <f>IF(ISERROR(FIND('112'!$M$9,G1082,1)),"",IF((AND(LEFT(G1082,2)=LEFT('112'!$M$9,2),B1082&lt;'112'!$N$8,$L1082='112'!$I$6)),"x",""))</f>
        <v/>
      </c>
      <c r="T1082" s="55" t="str">
        <f>IF(ISERROR(FIND('112'!$M$9,G1082,1)),"",IF((AND(RIGHT(G1082,2)=RIGHT('112'!$M$9,2),B1082&lt;'112'!$N$8,$M1082='112'!$I$6)),"x",""))</f>
        <v/>
      </c>
      <c r="U1082" s="55" t="str">
        <f>IF(AND('3411-CT'!$F$9=H1082,OR(LEFT(L1082,3)=$U$7,LEFT(M1082,3)=$U$7)),"x","")</f>
        <v/>
      </c>
      <c r="V1082" s="55" t="str">
        <f>IF(OR(TH!L1082=TH!$V$7,M1082=TH!$V$7),"x","")</f>
        <v/>
      </c>
      <c r="W1082" s="55" t="str">
        <f>IF(AND(OR(L1082="131",M1082="131"),H1082='131-CT'!$E$7),"x","")</f>
        <v/>
      </c>
      <c r="X1082" s="55" t="str">
        <f>IF(AND(B1082&gt;='IN-NX'!$P$3,B1082&lt;='IN-NX'!$Q$3,'IN-NX'!$D$7=D1082,OR(LEFT(TH!L1082,2)="15",LEFT(TH!M1082,2)="15")),"x","")</f>
        <v/>
      </c>
      <c r="Y1082" s="55" t="str">
        <f>IF(AND(OR(LEFT(TH!L1082,2)="15",LEFT(TH!M1082,2)="15"),'152-CT'!$J$8=TH!F1082),"x","")</f>
        <v/>
      </c>
      <c r="Z1082" s="55" t="str">
        <f>IF(AND(OR(LEFT(TH!L1082,2)="15",LEFT(TH!M1082,2)="15"),TK!$E$7=TH!F1082),"x","")</f>
        <v/>
      </c>
      <c r="AA1082" s="55" t="str">
        <f>IF(AND(B1082&lt;=NKC!$N$8,B1082&gt;=NKC!$M$8),"x","")</f>
        <v>x</v>
      </c>
    </row>
    <row r="1083" spans="1:29" ht="15.75" customHeight="1">
      <c r="A1083" s="219" t="str">
        <f>IF(B1083&lt;&gt;"",IF(AND(B1083&gt;=_TM1,B1083&lt;=_TM2,OR(TH!L1083="1111",TH!M1083="1111")),TH!D1083,""),"")</f>
        <v/>
      </c>
      <c r="B1083" s="36">
        <f t="shared" si="39"/>
        <v>4</v>
      </c>
      <c r="C1083" s="205">
        <f t="shared" si="47"/>
        <v>41025</v>
      </c>
      <c r="D1083" s="904"/>
      <c r="E1083" s="904">
        <v>41025</v>
      </c>
      <c r="F1083" s="905" t="s">
        <v>1285</v>
      </c>
      <c r="G1083" s="577" t="s">
        <v>1283</v>
      </c>
      <c r="H1083" s="207" t="s">
        <v>1207</v>
      </c>
      <c r="I1083" s="277">
        <v>506</v>
      </c>
      <c r="J1083" s="277">
        <v>6700</v>
      </c>
      <c r="K1083" s="698">
        <f t="shared" si="46"/>
        <v>3390200</v>
      </c>
      <c r="L1083" s="208" t="s">
        <v>49</v>
      </c>
      <c r="M1083" s="208" t="s">
        <v>208</v>
      </c>
      <c r="N1083" s="55" t="str">
        <f>IF(AND('331-CT'!$E$7=TH!H1083,OR(L1083="331",M1083="331")),"x","")</f>
        <v/>
      </c>
      <c r="O1083" s="55" t="str">
        <f>IF(AND($B1083&gt;='111'!$N$11,$B1083&lt;='111'!$O$11,OR($L1083=$O$7,$M1083=$O$7)),"x","")</f>
        <v/>
      </c>
      <c r="P1083" s="55" t="str">
        <f>IF(AND($L1083=$O$7,$B1083&lt;'111'!$N$11),"x","")</f>
        <v>x</v>
      </c>
      <c r="Q1083" s="55" t="str">
        <f>IF(AND($M1083=$O$7,$B1083&lt;'111'!$N$11),"x","")</f>
        <v/>
      </c>
      <c r="R1083" s="55" t="str">
        <f>IF(ISERROR(FIND('112'!$M$9,G1083,1)),"",IF((AND(FIND('112'!$M$9,G1083,1)&gt;=1,$B1083&gt;='112'!$N$8,$B1083&lt;='112'!$O$8,OR($L1083='112'!$I$6,$M1083='112'!$I$6))),"x",""))</f>
        <v/>
      </c>
      <c r="S1083" s="55" t="str">
        <f>IF(ISERROR(FIND('112'!$M$9,G1083,1)),"",IF((AND(LEFT(G1083,2)=LEFT('112'!$M$9,2),B1083&lt;'112'!$N$8,$L1083='112'!$I$6)),"x",""))</f>
        <v/>
      </c>
      <c r="T1083" s="55" t="str">
        <f>IF(ISERROR(FIND('112'!$M$9,G1083,1)),"",IF((AND(RIGHT(G1083,2)=RIGHT('112'!$M$9,2),B1083&lt;'112'!$N$8,$M1083='112'!$I$6)),"x",""))</f>
        <v/>
      </c>
      <c r="U1083" s="55" t="str">
        <f>IF(AND('3411-CT'!$F$9=H1083,OR(LEFT(L1083,3)=$U$7,LEFT(M1083,3)=$U$7)),"x","")</f>
        <v/>
      </c>
      <c r="V1083" s="55" t="str">
        <f>IF(OR(TH!L1083=TH!$V$7,M1083=TH!$V$7),"x","")</f>
        <v/>
      </c>
      <c r="W1083" s="55" t="str">
        <f>IF(AND(OR(L1083="131",M1083="131"),H1083='131-CT'!$E$7),"x","")</f>
        <v/>
      </c>
      <c r="X1083" s="55" t="str">
        <f>IF(AND(B1083&gt;='IN-NX'!$P$3,B1083&lt;='IN-NX'!$Q$3,'IN-NX'!$D$7=D1083,OR(LEFT(TH!L1083,2)="15",LEFT(TH!M1083,2)="15")),"x","")</f>
        <v/>
      </c>
      <c r="Y1083" s="55" t="str">
        <f>IF(AND(OR(LEFT(TH!L1083,2)="15",LEFT(TH!M1083,2)="15"),'152-CT'!$J$8=TH!F1083),"x","")</f>
        <v/>
      </c>
      <c r="Z1083" s="55" t="str">
        <f>IF(AND(OR(LEFT(TH!L1083,2)="15",LEFT(TH!M1083,2)="15"),TK!$E$7=TH!F1083),"x","")</f>
        <v/>
      </c>
      <c r="AA1083" s="55" t="str">
        <f>IF(AND(B1083&lt;=NKC!$N$8,B1083&gt;=NKC!$M$8),"x","")</f>
        <v>x</v>
      </c>
    </row>
    <row r="1084" spans="1:29" ht="15.75" customHeight="1">
      <c r="A1084" s="219" t="str">
        <f>IF(B1084&lt;&gt;"",IF(AND(B1084&gt;=_TM1,B1084&lt;=_TM2,OR(TH!L1084="1111",TH!M1084="1111")),TH!D1084,""),"")</f>
        <v/>
      </c>
      <c r="B1084" s="36">
        <f t="shared" si="39"/>
        <v>4</v>
      </c>
      <c r="C1084" s="205">
        <f t="shared" si="47"/>
        <v>41025</v>
      </c>
      <c r="D1084" s="904"/>
      <c r="E1084" s="904">
        <v>41025</v>
      </c>
      <c r="F1084" s="206" t="s">
        <v>1185</v>
      </c>
      <c r="G1084" s="577" t="s">
        <v>1283</v>
      </c>
      <c r="H1084" s="207" t="s">
        <v>1207</v>
      </c>
      <c r="I1084" s="277"/>
      <c r="J1084" s="277"/>
      <c r="K1084" s="698">
        <v>602155</v>
      </c>
      <c r="L1084" s="208" t="s">
        <v>49</v>
      </c>
      <c r="M1084" s="208" t="s">
        <v>549</v>
      </c>
      <c r="N1084" s="55" t="str">
        <f>IF(AND('331-CT'!$E$7=TH!H1084,OR(L1084="331",M1084="331")),"x","")</f>
        <v/>
      </c>
      <c r="O1084" s="55" t="str">
        <f>IF(AND($B1084&gt;='111'!$N$11,$B1084&lt;='111'!$O$11,OR($L1084=$O$7,$M1084=$O$7)),"x","")</f>
        <v/>
      </c>
      <c r="P1084" s="55" t="str">
        <f>IF(AND($L1084=$O$7,$B1084&lt;'111'!$N$11),"x","")</f>
        <v>x</v>
      </c>
      <c r="Q1084" s="55" t="str">
        <f>IF(AND($M1084=$O$7,$B1084&lt;'111'!$N$11),"x","")</f>
        <v/>
      </c>
      <c r="R1084" s="55" t="str">
        <f>IF(ISERROR(FIND('112'!$M$9,G1084,1)),"",IF((AND(FIND('112'!$M$9,G1084,1)&gt;=1,$B1084&gt;='112'!$N$8,$B1084&lt;='112'!$O$8,OR($L1084='112'!$I$6,$M1084='112'!$I$6))),"x",""))</f>
        <v/>
      </c>
      <c r="S1084" s="55" t="str">
        <f>IF(ISERROR(FIND('112'!$M$9,G1084,1)),"",IF((AND(LEFT(G1084,2)=LEFT('112'!$M$9,2),B1084&lt;'112'!$N$8,$L1084='112'!$I$6)),"x",""))</f>
        <v/>
      </c>
      <c r="T1084" s="55" t="str">
        <f>IF(ISERROR(FIND('112'!$M$9,G1084,1)),"",IF((AND(RIGHT(G1084,2)=RIGHT('112'!$M$9,2),B1084&lt;'112'!$N$8,$M1084='112'!$I$6)),"x",""))</f>
        <v/>
      </c>
      <c r="U1084" s="55" t="str">
        <f>IF(AND('3411-CT'!$F$9=H1084,OR(LEFT(L1084,3)=$U$7,LEFT(M1084,3)=$U$7)),"x","")</f>
        <v/>
      </c>
      <c r="V1084" s="55" t="str">
        <f>IF(OR(TH!L1084=TH!$V$7,M1084=TH!$V$7),"x","")</f>
        <v/>
      </c>
      <c r="W1084" s="55" t="str">
        <f>IF(AND(OR(L1084="131",M1084="131"),H1084='131-CT'!$E$7),"x","")</f>
        <v/>
      </c>
      <c r="X1084" s="55" t="str">
        <f>IF(AND(B1084&gt;='IN-NX'!$P$3,B1084&lt;='IN-NX'!$Q$3,'IN-NX'!$D$7=D1084,OR(LEFT(TH!L1084,2)="15",LEFT(TH!M1084,2)="15")),"x","")</f>
        <v/>
      </c>
      <c r="Y1084" s="55" t="str">
        <f>IF(AND(OR(LEFT(TH!L1084,2)="15",LEFT(TH!M1084,2)="15"),'152-CT'!$J$8=TH!F1084),"x","")</f>
        <v/>
      </c>
      <c r="Z1084" s="55" t="str">
        <f>IF(AND(OR(LEFT(TH!L1084,2)="15",LEFT(TH!M1084,2)="15"),TK!$E$7=TH!F1084),"x","")</f>
        <v/>
      </c>
      <c r="AA1084" s="55" t="str">
        <f>IF(AND(B1084&lt;=NKC!$N$8,B1084&gt;=NKC!$M$8),"x","")</f>
        <v>x</v>
      </c>
      <c r="AC1084" s="226"/>
    </row>
    <row r="1085" spans="1:29" ht="15.75" customHeight="1">
      <c r="A1085" s="219" t="str">
        <f>IF(B1085&lt;&gt;"",IF(AND(B1085&gt;=_TM1,B1085&lt;=_TM2,OR(TH!L1085="1111",TH!M1085="1111")),TH!D1085,""),"")</f>
        <v/>
      </c>
      <c r="B1085" s="36">
        <f t="shared" si="39"/>
        <v>5</v>
      </c>
      <c r="C1085" s="205">
        <f t="shared" si="47"/>
        <v>41031</v>
      </c>
      <c r="D1085" s="904"/>
      <c r="E1085" s="904">
        <v>41031</v>
      </c>
      <c r="F1085" s="905" t="s">
        <v>1286</v>
      </c>
      <c r="G1085" s="577" t="s">
        <v>1287</v>
      </c>
      <c r="H1085" s="906" t="s">
        <v>1288</v>
      </c>
      <c r="I1085" s="275">
        <v>200</v>
      </c>
      <c r="J1085" s="275">
        <v>18915</v>
      </c>
      <c r="K1085" s="698">
        <f t="shared" si="46"/>
        <v>3783000</v>
      </c>
      <c r="L1085" s="208" t="s">
        <v>49</v>
      </c>
      <c r="M1085" s="208" t="s">
        <v>208</v>
      </c>
      <c r="N1085" s="55" t="str">
        <f>IF(AND('331-CT'!$E$7=TH!H1085,OR(L1085="331",M1085="331")),"x","")</f>
        <v/>
      </c>
      <c r="O1085" s="55" t="str">
        <f>IF(AND($B1085&gt;='111'!$N$11,$B1085&lt;='111'!$O$11,OR($L1085=$O$7,$M1085=$O$7)),"x","")</f>
        <v/>
      </c>
      <c r="P1085" s="55" t="str">
        <f>IF(AND($L1085=$O$7,$B1085&lt;'111'!$N$11),"x","")</f>
        <v>x</v>
      </c>
      <c r="Q1085" s="55" t="str">
        <f>IF(AND($M1085=$O$7,$B1085&lt;'111'!$N$11),"x","")</f>
        <v/>
      </c>
      <c r="R1085" s="55" t="str">
        <f>IF(ISERROR(FIND('112'!$M$9,G1085,1)),"",IF((AND(FIND('112'!$M$9,G1085,1)&gt;=1,$B1085&gt;='112'!$N$8,$B1085&lt;='112'!$O$8,OR($L1085='112'!$I$6,$M1085='112'!$I$6))),"x",""))</f>
        <v/>
      </c>
      <c r="S1085" s="55" t="str">
        <f>IF(ISERROR(FIND('112'!$M$9,G1085,1)),"",IF((AND(LEFT(G1085,2)=LEFT('112'!$M$9,2),B1085&lt;'112'!$N$8,$L1085='112'!$I$6)),"x",""))</f>
        <v/>
      </c>
      <c r="T1085" s="55" t="str">
        <f>IF(ISERROR(FIND('112'!$M$9,G1085,1)),"",IF((AND(RIGHT(G1085,2)=RIGHT('112'!$M$9,2),B1085&lt;'112'!$N$8,$M1085='112'!$I$6)),"x",""))</f>
        <v/>
      </c>
      <c r="U1085" s="55" t="str">
        <f>IF(AND('3411-CT'!$F$9=H1085,OR(LEFT(L1085,3)=$U$7,LEFT(M1085,3)=$U$7)),"x","")</f>
        <v/>
      </c>
      <c r="V1085" s="55" t="str">
        <f>IF(OR(TH!L1085=TH!$V$7,M1085=TH!$V$7),"x","")</f>
        <v/>
      </c>
      <c r="W1085" s="55" t="str">
        <f>IF(AND(OR(L1085="131",M1085="131"),H1085='131-CT'!$E$7),"x","")</f>
        <v/>
      </c>
      <c r="X1085" s="55" t="str">
        <f>IF(AND(B1085&gt;='IN-NX'!$P$3,B1085&lt;='IN-NX'!$Q$3,'IN-NX'!$D$7=D1085,OR(LEFT(TH!L1085,2)="15",LEFT(TH!M1085,2)="15")),"x","")</f>
        <v/>
      </c>
      <c r="Y1085" s="55" t="str">
        <f>IF(AND(OR(LEFT(TH!L1085,2)="15",LEFT(TH!M1085,2)="15"),'152-CT'!$J$8=TH!F1085),"x","")</f>
        <v/>
      </c>
      <c r="Z1085" s="55" t="str">
        <f>IF(AND(OR(LEFT(TH!L1085,2)="15",LEFT(TH!M1085,2)="15"),TK!$E$7=TH!F1085),"x","")</f>
        <v/>
      </c>
      <c r="AA1085" s="55" t="str">
        <f>IF(AND(B1085&lt;=NKC!$N$8,B1085&gt;=NKC!$M$8),"x","")</f>
        <v>x</v>
      </c>
    </row>
    <row r="1086" spans="1:29" ht="15.75" customHeight="1">
      <c r="A1086" s="219" t="str">
        <f>IF(B1086&lt;&gt;"",IF(AND(B1086&gt;=_TM1,B1086&lt;=_TM2,OR(TH!L1086="1111",TH!M1086="1111")),TH!D1086,""),"")</f>
        <v/>
      </c>
      <c r="B1086" s="36">
        <f t="shared" si="39"/>
        <v>5</v>
      </c>
      <c r="C1086" s="205">
        <f t="shared" si="47"/>
        <v>41031</v>
      </c>
      <c r="D1086" s="904"/>
      <c r="E1086" s="904">
        <v>41031</v>
      </c>
      <c r="F1086" s="905" t="s">
        <v>1289</v>
      </c>
      <c r="G1086" s="577" t="s">
        <v>1287</v>
      </c>
      <c r="H1086" s="906" t="s">
        <v>1288</v>
      </c>
      <c r="I1086" s="275">
        <v>100</v>
      </c>
      <c r="J1086" s="275">
        <v>12386</v>
      </c>
      <c r="K1086" s="698">
        <f t="shared" si="46"/>
        <v>1238600</v>
      </c>
      <c r="L1086" s="208" t="s">
        <v>49</v>
      </c>
      <c r="M1086" s="208" t="s">
        <v>208</v>
      </c>
      <c r="N1086" s="55" t="str">
        <f>IF(AND('331-CT'!$E$7=TH!H1086,OR(L1086="331",M1086="331")),"x","")</f>
        <v/>
      </c>
      <c r="O1086" s="55" t="str">
        <f>IF(AND($B1086&gt;='111'!$N$11,$B1086&lt;='111'!$O$11,OR($L1086=$O$7,$M1086=$O$7)),"x","")</f>
        <v/>
      </c>
      <c r="P1086" s="55" t="str">
        <f>IF(AND($L1086=$O$7,$B1086&lt;'111'!$N$11),"x","")</f>
        <v>x</v>
      </c>
      <c r="Q1086" s="55" t="str">
        <f>IF(AND($M1086=$O$7,$B1086&lt;'111'!$N$11),"x","")</f>
        <v/>
      </c>
      <c r="R1086" s="55" t="str">
        <f>IF(ISERROR(FIND('112'!$M$9,G1086,1)),"",IF((AND(FIND('112'!$M$9,G1086,1)&gt;=1,$B1086&gt;='112'!$N$8,$B1086&lt;='112'!$O$8,OR($L1086='112'!$I$6,$M1086='112'!$I$6))),"x",""))</f>
        <v/>
      </c>
      <c r="S1086" s="55" t="str">
        <f>IF(ISERROR(FIND('112'!$M$9,G1086,1)),"",IF((AND(LEFT(G1086,2)=LEFT('112'!$M$9,2),B1086&lt;'112'!$N$8,$L1086='112'!$I$6)),"x",""))</f>
        <v/>
      </c>
      <c r="T1086" s="55" t="str">
        <f>IF(ISERROR(FIND('112'!$M$9,G1086,1)),"",IF((AND(RIGHT(G1086,2)=RIGHT('112'!$M$9,2),B1086&lt;'112'!$N$8,$M1086='112'!$I$6)),"x",""))</f>
        <v/>
      </c>
      <c r="U1086" s="55" t="str">
        <f>IF(AND('3411-CT'!$F$9=H1086,OR(LEFT(L1086,3)=$U$7,LEFT(M1086,3)=$U$7)),"x","")</f>
        <v/>
      </c>
      <c r="V1086" s="55" t="str">
        <f>IF(OR(TH!L1086=TH!$V$7,M1086=TH!$V$7),"x","")</f>
        <v/>
      </c>
      <c r="W1086" s="55" t="str">
        <f>IF(AND(OR(L1086="131",M1086="131"),H1086='131-CT'!$E$7),"x","")</f>
        <v/>
      </c>
      <c r="X1086" s="55" t="str">
        <f>IF(AND(B1086&gt;='IN-NX'!$P$3,B1086&lt;='IN-NX'!$Q$3,'IN-NX'!$D$7=D1086,OR(LEFT(TH!L1086,2)="15",LEFT(TH!M1086,2)="15")),"x","")</f>
        <v/>
      </c>
      <c r="Y1086" s="55" t="str">
        <f>IF(AND(OR(LEFT(TH!L1086,2)="15",LEFT(TH!M1086,2)="15"),'152-CT'!$J$8=TH!F1086),"x","")</f>
        <v/>
      </c>
      <c r="Z1086" s="55" t="str">
        <f>IF(AND(OR(LEFT(TH!L1086,2)="15",LEFT(TH!M1086,2)="15"),TK!$E$7=TH!F1086),"x","")</f>
        <v/>
      </c>
      <c r="AA1086" s="55" t="str">
        <f>IF(AND(B1086&lt;=NKC!$N$8,B1086&gt;=NKC!$M$8),"x","")</f>
        <v>x</v>
      </c>
    </row>
    <row r="1087" spans="1:29" ht="15.75" customHeight="1">
      <c r="A1087" s="219" t="str">
        <f>IF(B1087&lt;&gt;"",IF(AND(B1087&gt;=_TM1,B1087&lt;=_TM2,OR(TH!L1087="1111",TH!M1087="1111")),TH!D1087,""),"")</f>
        <v/>
      </c>
      <c r="B1087" s="36">
        <f t="shared" si="39"/>
        <v>5</v>
      </c>
      <c r="C1087" s="205">
        <f t="shared" si="47"/>
        <v>41031</v>
      </c>
      <c r="D1087" s="904"/>
      <c r="E1087" s="904">
        <v>41031</v>
      </c>
      <c r="F1087" s="206" t="s">
        <v>1185</v>
      </c>
      <c r="G1087" s="577" t="s">
        <v>1287</v>
      </c>
      <c r="H1087" s="906" t="s">
        <v>1288</v>
      </c>
      <c r="I1087" s="277"/>
      <c r="J1087" s="277"/>
      <c r="K1087" s="698">
        <v>502160</v>
      </c>
      <c r="L1087" s="208" t="s">
        <v>49</v>
      </c>
      <c r="M1087" s="208" t="s">
        <v>549</v>
      </c>
      <c r="N1087" s="55" t="str">
        <f>IF(AND('331-CT'!$E$7=TH!H1087,OR(L1087="331",M1087="331")),"x","")</f>
        <v/>
      </c>
      <c r="O1087" s="55" t="str">
        <f>IF(AND($B1087&gt;='111'!$N$11,$B1087&lt;='111'!$O$11,OR($L1087=$O$7,$M1087=$O$7)),"x","")</f>
        <v/>
      </c>
      <c r="P1087" s="55" t="str">
        <f>IF(AND($L1087=$O$7,$B1087&lt;'111'!$N$11),"x","")</f>
        <v>x</v>
      </c>
      <c r="Q1087" s="55" t="str">
        <f>IF(AND($M1087=$O$7,$B1087&lt;'111'!$N$11),"x","")</f>
        <v/>
      </c>
      <c r="R1087" s="55" t="str">
        <f>IF(ISERROR(FIND('112'!$M$9,G1087,1)),"",IF((AND(FIND('112'!$M$9,G1087,1)&gt;=1,$B1087&gt;='112'!$N$8,$B1087&lt;='112'!$O$8,OR($L1087='112'!$I$6,$M1087='112'!$I$6))),"x",""))</f>
        <v/>
      </c>
      <c r="S1087" s="55" t="str">
        <f>IF(ISERROR(FIND('112'!$M$9,G1087,1)),"",IF((AND(LEFT(G1087,2)=LEFT('112'!$M$9,2),B1087&lt;'112'!$N$8,$L1087='112'!$I$6)),"x",""))</f>
        <v/>
      </c>
      <c r="T1087" s="55" t="str">
        <f>IF(ISERROR(FIND('112'!$M$9,G1087,1)),"",IF((AND(RIGHT(G1087,2)=RIGHT('112'!$M$9,2),B1087&lt;'112'!$N$8,$M1087='112'!$I$6)),"x",""))</f>
        <v/>
      </c>
      <c r="U1087" s="55" t="str">
        <f>IF(AND('3411-CT'!$F$9=H1087,OR(LEFT(L1087,3)=$U$7,LEFT(M1087,3)=$U$7)),"x","")</f>
        <v/>
      </c>
      <c r="V1087" s="55" t="str">
        <f>IF(OR(TH!L1087=TH!$V$7,M1087=TH!$V$7),"x","")</f>
        <v/>
      </c>
      <c r="W1087" s="55" t="str">
        <f>IF(AND(OR(L1087="131",M1087="131"),H1087='131-CT'!$E$7),"x","")</f>
        <v/>
      </c>
      <c r="X1087" s="55" t="str">
        <f>IF(AND(B1087&gt;='IN-NX'!$P$3,B1087&lt;='IN-NX'!$Q$3,'IN-NX'!$D$7=D1087,OR(LEFT(TH!L1087,2)="15",LEFT(TH!M1087,2)="15")),"x","")</f>
        <v/>
      </c>
      <c r="Y1087" s="55" t="str">
        <f>IF(AND(OR(LEFT(TH!L1087,2)="15",LEFT(TH!M1087,2)="15"),'152-CT'!$J$8=TH!F1087),"x","")</f>
        <v/>
      </c>
      <c r="Z1087" s="55" t="str">
        <f>IF(AND(OR(LEFT(TH!L1087,2)="15",LEFT(TH!M1087,2)="15"),TK!$E$7=TH!F1087),"x","")</f>
        <v/>
      </c>
      <c r="AA1087" s="55" t="str">
        <f>IF(AND(B1087&lt;=NKC!$N$8,B1087&gt;=NKC!$M$8),"x","")</f>
        <v>x</v>
      </c>
      <c r="AC1087" s="226"/>
    </row>
    <row r="1088" spans="1:29" ht="15.75" customHeight="1">
      <c r="A1088" s="219" t="str">
        <f>IF(B1088&lt;&gt;"",IF(AND(B1088&gt;=_TM1,B1088&lt;=_TM2,OR(TH!L1088="1111",TH!M1088="1111")),TH!D1088,""),"")</f>
        <v/>
      </c>
      <c r="B1088" s="36">
        <f t="shared" si="39"/>
        <v>5</v>
      </c>
      <c r="C1088" s="205">
        <f t="shared" si="47"/>
        <v>41032</v>
      </c>
      <c r="D1088" s="904"/>
      <c r="E1088" s="904">
        <v>41032</v>
      </c>
      <c r="F1088" s="905" t="s">
        <v>1290</v>
      </c>
      <c r="G1088" s="577" t="s">
        <v>1291</v>
      </c>
      <c r="H1088" s="207" t="s">
        <v>1176</v>
      </c>
      <c r="I1088" s="277">
        <v>317</v>
      </c>
      <c r="J1088" s="277">
        <v>15720</v>
      </c>
      <c r="K1088" s="698">
        <f t="shared" si="46"/>
        <v>4983240</v>
      </c>
      <c r="L1088" s="208" t="s">
        <v>311</v>
      </c>
      <c r="M1088" s="208" t="s">
        <v>208</v>
      </c>
      <c r="N1088" s="55" t="str">
        <f>IF(AND('331-CT'!$E$7=TH!H1088,OR(L1088="331",M1088="331")),"x","")</f>
        <v/>
      </c>
      <c r="O1088" s="55" t="str">
        <f>IF(AND($B1088&gt;='111'!$N$11,$B1088&lt;='111'!$O$11,OR($L1088=$O$7,$M1088=$O$7)),"x","")</f>
        <v/>
      </c>
      <c r="P1088" s="55" t="str">
        <f>IF(AND($L1088=$O$7,$B1088&lt;'111'!$N$11),"x","")</f>
        <v/>
      </c>
      <c r="Q1088" s="55" t="str">
        <f>IF(AND($M1088=$O$7,$B1088&lt;'111'!$N$11),"x","")</f>
        <v/>
      </c>
      <c r="R1088" s="55" t="str">
        <f>IF(ISERROR(FIND('112'!$M$9,G1088,1)),"",IF((AND(FIND('112'!$M$9,G1088,1)&gt;=1,$B1088&gt;='112'!$N$8,$B1088&lt;='112'!$O$8,OR($L1088='112'!$I$6,$M1088='112'!$I$6))),"x",""))</f>
        <v/>
      </c>
      <c r="S1088" s="55" t="str">
        <f>IF(ISERROR(FIND('112'!$M$9,G1088,1)),"",IF((AND(LEFT(G1088,2)=LEFT('112'!$M$9,2),B1088&lt;'112'!$N$8,$L1088='112'!$I$6)),"x",""))</f>
        <v/>
      </c>
      <c r="T1088" s="55" t="str">
        <f>IF(ISERROR(FIND('112'!$M$9,G1088,1)),"",IF((AND(RIGHT(G1088,2)=RIGHT('112'!$M$9,2),B1088&lt;'112'!$N$8,$M1088='112'!$I$6)),"x",""))</f>
        <v/>
      </c>
      <c r="U1088" s="55" t="str">
        <f>IF(AND('3411-CT'!$F$9=H1088,OR(LEFT(L1088,3)=$U$7,LEFT(M1088,3)=$U$7)),"x","")</f>
        <v/>
      </c>
      <c r="V1088" s="55" t="str">
        <f>IF(OR(TH!L1088=TH!$V$7,M1088=TH!$V$7),"x","")</f>
        <v/>
      </c>
      <c r="W1088" s="55" t="str">
        <f>IF(AND(OR(L1088="131",M1088="131"),H1088='131-CT'!$E$7),"x","")</f>
        <v/>
      </c>
      <c r="X1088" s="55" t="str">
        <f>IF(AND(B1088&gt;='IN-NX'!$P$3,B1088&lt;='IN-NX'!$Q$3,'IN-NX'!$D$7=D1088,OR(LEFT(TH!L1088,2)="15",LEFT(TH!M1088,2)="15")),"x","")</f>
        <v/>
      </c>
      <c r="Y1088" s="55" t="str">
        <f>IF(AND(OR(LEFT(TH!L1088,2)="15",LEFT(TH!M1088,2)="15"),'152-CT'!$J$8=TH!F1088),"x","")</f>
        <v/>
      </c>
      <c r="Z1088" s="55" t="str">
        <f>IF(AND(OR(LEFT(TH!L1088,2)="15",LEFT(TH!M1088,2)="15"),TK!$E$7=TH!F1088),"x","")</f>
        <v/>
      </c>
      <c r="AA1088" s="55" t="str">
        <f>IF(AND(B1088&lt;=NKC!$N$8,B1088&gt;=NKC!$M$8),"x","")</f>
        <v>x</v>
      </c>
    </row>
    <row r="1089" spans="1:29" ht="15.75" customHeight="1">
      <c r="A1089" s="219" t="str">
        <f>IF(B1089&lt;&gt;"",IF(AND(B1089&gt;=_TM1,B1089&lt;=_TM2,OR(TH!L1089="1111",TH!M1089="1111")),TH!D1089,""),"")</f>
        <v/>
      </c>
      <c r="B1089" s="36">
        <f t="shared" si="39"/>
        <v>5</v>
      </c>
      <c r="C1089" s="205">
        <f t="shared" si="47"/>
        <v>41032</v>
      </c>
      <c r="D1089" s="904"/>
      <c r="E1089" s="904">
        <v>41032</v>
      </c>
      <c r="F1089" s="206" t="s">
        <v>1185</v>
      </c>
      <c r="G1089" s="577" t="s">
        <v>1291</v>
      </c>
      <c r="H1089" s="207" t="s">
        <v>1176</v>
      </c>
      <c r="I1089" s="277"/>
      <c r="J1089" s="277"/>
      <c r="K1089" s="698">
        <v>498324</v>
      </c>
      <c r="L1089" s="208" t="s">
        <v>311</v>
      </c>
      <c r="M1089" s="208" t="s">
        <v>549</v>
      </c>
      <c r="N1089" s="55" t="str">
        <f>IF(AND('331-CT'!$E$7=TH!H1089,OR(L1089="331",M1089="331")),"x","")</f>
        <v/>
      </c>
      <c r="O1089" s="55" t="str">
        <f>IF(AND($B1089&gt;='111'!$N$11,$B1089&lt;='111'!$O$11,OR($L1089=$O$7,$M1089=$O$7)),"x","")</f>
        <v/>
      </c>
      <c r="P1089" s="55" t="str">
        <f>IF(AND($L1089=$O$7,$B1089&lt;'111'!$N$11),"x","")</f>
        <v/>
      </c>
      <c r="Q1089" s="55" t="str">
        <f>IF(AND($M1089=$O$7,$B1089&lt;'111'!$N$11),"x","")</f>
        <v/>
      </c>
      <c r="R1089" s="55" t="str">
        <f>IF(ISERROR(FIND('112'!$M$9,G1089,1)),"",IF((AND(FIND('112'!$M$9,G1089,1)&gt;=1,$B1089&gt;='112'!$N$8,$B1089&lt;='112'!$O$8,OR($L1089='112'!$I$6,$M1089='112'!$I$6))),"x",""))</f>
        <v/>
      </c>
      <c r="S1089" s="55" t="str">
        <f>IF(ISERROR(FIND('112'!$M$9,G1089,1)),"",IF((AND(LEFT(G1089,2)=LEFT('112'!$M$9,2),B1089&lt;'112'!$N$8,$L1089='112'!$I$6)),"x",""))</f>
        <v/>
      </c>
      <c r="T1089" s="55" t="str">
        <f>IF(ISERROR(FIND('112'!$M$9,G1089,1)),"",IF((AND(RIGHT(G1089,2)=RIGHT('112'!$M$9,2),B1089&lt;'112'!$N$8,$M1089='112'!$I$6)),"x",""))</f>
        <v/>
      </c>
      <c r="U1089" s="55" t="str">
        <f>IF(AND('3411-CT'!$F$9=H1089,OR(LEFT(L1089,3)=$U$7,LEFT(M1089,3)=$U$7)),"x","")</f>
        <v/>
      </c>
      <c r="V1089" s="55" t="str">
        <f>IF(OR(TH!L1089=TH!$V$7,M1089=TH!$V$7),"x","")</f>
        <v/>
      </c>
      <c r="W1089" s="55" t="str">
        <f>IF(AND(OR(L1089="131",M1089="131"),H1089='131-CT'!$E$7),"x","")</f>
        <v/>
      </c>
      <c r="X1089" s="55" t="str">
        <f>IF(AND(B1089&gt;='IN-NX'!$P$3,B1089&lt;='IN-NX'!$Q$3,'IN-NX'!$D$7=D1089,OR(LEFT(TH!L1089,2)="15",LEFT(TH!M1089,2)="15")),"x","")</f>
        <v/>
      </c>
      <c r="Y1089" s="55" t="str">
        <f>IF(AND(OR(LEFT(TH!L1089,2)="15",LEFT(TH!M1089,2)="15"),'152-CT'!$J$8=TH!F1089),"x","")</f>
        <v/>
      </c>
      <c r="Z1089" s="55" t="str">
        <f>IF(AND(OR(LEFT(TH!L1089,2)="15",LEFT(TH!M1089,2)="15"),TK!$E$7=TH!F1089),"x","")</f>
        <v/>
      </c>
      <c r="AA1089" s="55" t="str">
        <f>IF(AND(B1089&lt;=NKC!$N$8,B1089&gt;=NKC!$M$8),"x","")</f>
        <v>x</v>
      </c>
      <c r="AC1089" s="226"/>
    </row>
    <row r="1090" spans="1:29" s="226" customFormat="1" ht="15.75" customHeight="1">
      <c r="A1090" s="219" t="str">
        <f>IF(B1090&lt;&gt;"",IF(AND(B1090&gt;=_TM1,B1090&lt;=_TM2,OR(TH!L1090="1111",TH!M1090="1111")),TH!D1090,""),"")</f>
        <v/>
      </c>
      <c r="B1090" s="36">
        <f t="shared" ref="B1090:B1123" si="48">IF(C1090&lt;&gt;"",MONTH(C1090),"")</f>
        <v>5</v>
      </c>
      <c r="C1090" s="205">
        <f t="shared" si="47"/>
        <v>41033</v>
      </c>
      <c r="D1090" s="904"/>
      <c r="E1090" s="904">
        <v>41033</v>
      </c>
      <c r="F1090" s="905" t="s">
        <v>1292</v>
      </c>
      <c r="G1090" s="577" t="s">
        <v>1293</v>
      </c>
      <c r="H1090" s="207" t="s">
        <v>1294</v>
      </c>
      <c r="I1090" s="277">
        <v>305</v>
      </c>
      <c r="J1090" s="277">
        <v>1638</v>
      </c>
      <c r="K1090" s="698">
        <f t="shared" si="46"/>
        <v>499590</v>
      </c>
      <c r="L1090" s="208" t="s">
        <v>49</v>
      </c>
      <c r="M1090" s="208" t="s">
        <v>208</v>
      </c>
      <c r="N1090" s="55" t="str">
        <f>IF(AND('331-CT'!$E$7=TH!H1090,OR(L1090="331",M1090="331")),"x","")</f>
        <v/>
      </c>
      <c r="O1090" s="55" t="str">
        <f>IF(AND($B1090&gt;='111'!$N$11,$B1090&lt;='111'!$O$11,OR($L1090=$O$7,$M1090=$O$7)),"x","")</f>
        <v/>
      </c>
      <c r="P1090" s="55" t="str">
        <f>IF(AND($L1090=$O$7,$B1090&lt;'111'!$N$11),"x","")</f>
        <v>x</v>
      </c>
      <c r="Q1090" s="55" t="str">
        <f>IF(AND($M1090=$O$7,$B1090&lt;'111'!$N$11),"x","")</f>
        <v/>
      </c>
      <c r="R1090" s="55" t="str">
        <f>IF(ISERROR(FIND('112'!$M$9,G1090,1)),"",IF((AND(FIND('112'!$M$9,G1090,1)&gt;=1,$B1090&gt;='112'!$N$8,$B1090&lt;='112'!$O$8,OR($L1090='112'!$I$6,$M1090='112'!$I$6))),"x",""))</f>
        <v/>
      </c>
      <c r="S1090" s="55" t="str">
        <f>IF(ISERROR(FIND('112'!$M$9,G1090,1)),"",IF((AND(LEFT(G1090,2)=LEFT('112'!$M$9,2),B1090&lt;'112'!$N$8,$L1090='112'!$I$6)),"x",""))</f>
        <v/>
      </c>
      <c r="T1090" s="55" t="str">
        <f>IF(ISERROR(FIND('112'!$M$9,G1090,1)),"",IF((AND(RIGHT(G1090,2)=RIGHT('112'!$M$9,2),B1090&lt;'112'!$N$8,$M1090='112'!$I$6)),"x",""))</f>
        <v/>
      </c>
      <c r="U1090" s="55" t="str">
        <f>IF(AND('3411-CT'!$F$9=H1090,OR(LEFT(L1090,3)=$U$7,LEFT(M1090,3)=$U$7)),"x","")</f>
        <v/>
      </c>
      <c r="V1090" s="55" t="str">
        <f>IF(OR(TH!L1090=TH!$V$7,M1090=TH!$V$7),"x","")</f>
        <v/>
      </c>
      <c r="W1090" s="55" t="str">
        <f>IF(AND(OR(L1090="131",M1090="131"),H1090='131-CT'!$E$7),"x","")</f>
        <v/>
      </c>
      <c r="X1090" s="55" t="str">
        <f>IF(AND(B1090&gt;='IN-NX'!$P$3,B1090&lt;='IN-NX'!$Q$3,'IN-NX'!$D$7=D1090,OR(LEFT(TH!L1090,2)="15",LEFT(TH!M1090,2)="15")),"x","")</f>
        <v/>
      </c>
      <c r="Y1090" s="55" t="str">
        <f>IF(AND(OR(LEFT(TH!L1090,2)="15",LEFT(TH!M1090,2)="15"),'152-CT'!$J$8=TH!F1090),"x","")</f>
        <v/>
      </c>
      <c r="Z1090" s="55" t="str">
        <f>IF(AND(OR(LEFT(TH!L1090,2)="15",LEFT(TH!M1090,2)="15"),TK!$E$7=TH!F1090),"x","")</f>
        <v/>
      </c>
      <c r="AA1090" s="55" t="str">
        <f>IF(AND(B1090&lt;=NKC!$N$8,B1090&gt;=NKC!$M$8),"x","")</f>
        <v>x</v>
      </c>
    </row>
    <row r="1091" spans="1:29" s="226" customFormat="1" ht="15.75" customHeight="1">
      <c r="A1091" s="219" t="str">
        <f>IF(B1091&lt;&gt;"",IF(AND(B1091&gt;=_TM1,B1091&lt;=_TM2,OR(TH!L1091="1111",TH!M1091="1111")),TH!D1091,""),"")</f>
        <v/>
      </c>
      <c r="B1091" s="36">
        <f t="shared" si="48"/>
        <v>5</v>
      </c>
      <c r="C1091" s="205">
        <f t="shared" si="47"/>
        <v>41033</v>
      </c>
      <c r="D1091" s="904"/>
      <c r="E1091" s="904">
        <v>41033</v>
      </c>
      <c r="F1091" s="905" t="s">
        <v>1295</v>
      </c>
      <c r="G1091" s="577" t="s">
        <v>1293</v>
      </c>
      <c r="H1091" s="207" t="s">
        <v>1294</v>
      </c>
      <c r="I1091" s="899">
        <v>188</v>
      </c>
      <c r="J1091" s="899">
        <v>13630</v>
      </c>
      <c r="K1091" s="698">
        <f t="shared" si="46"/>
        <v>2562440</v>
      </c>
      <c r="L1091" s="208" t="s">
        <v>49</v>
      </c>
      <c r="M1091" s="208" t="s">
        <v>208</v>
      </c>
      <c r="N1091" s="55" t="str">
        <f>IF(AND('331-CT'!$E$7=TH!H1091,OR(L1091="331",M1091="331")),"x","")</f>
        <v/>
      </c>
      <c r="O1091" s="55" t="str">
        <f>IF(AND($B1091&gt;='111'!$N$11,$B1091&lt;='111'!$O$11,OR($L1091=$O$7,$M1091=$O$7)),"x","")</f>
        <v/>
      </c>
      <c r="P1091" s="55" t="str">
        <f>IF(AND($L1091=$O$7,$B1091&lt;'111'!$N$11),"x","")</f>
        <v>x</v>
      </c>
      <c r="Q1091" s="55" t="str">
        <f>IF(AND($M1091=$O$7,$B1091&lt;'111'!$N$11),"x","")</f>
        <v/>
      </c>
      <c r="R1091" s="55" t="str">
        <f>IF(ISERROR(FIND('112'!$M$9,G1091,1)),"",IF((AND(FIND('112'!$M$9,G1091,1)&gt;=1,$B1091&gt;='112'!$N$8,$B1091&lt;='112'!$O$8,OR($L1091='112'!$I$6,$M1091='112'!$I$6))),"x",""))</f>
        <v/>
      </c>
      <c r="S1091" s="55" t="str">
        <f>IF(ISERROR(FIND('112'!$M$9,G1091,1)),"",IF((AND(LEFT(G1091,2)=LEFT('112'!$M$9,2),B1091&lt;'112'!$N$8,$L1091='112'!$I$6)),"x",""))</f>
        <v/>
      </c>
      <c r="T1091" s="55" t="str">
        <f>IF(ISERROR(FIND('112'!$M$9,G1091,1)),"",IF((AND(RIGHT(G1091,2)=RIGHT('112'!$M$9,2),B1091&lt;'112'!$N$8,$M1091='112'!$I$6)),"x",""))</f>
        <v/>
      </c>
      <c r="U1091" s="55" t="str">
        <f>IF(AND('3411-CT'!$F$9=H1091,OR(LEFT(L1091,3)=$U$7,LEFT(M1091,3)=$U$7)),"x","")</f>
        <v/>
      </c>
      <c r="V1091" s="55" t="str">
        <f>IF(OR(TH!L1091=TH!$V$7,M1091=TH!$V$7),"x","")</f>
        <v/>
      </c>
      <c r="W1091" s="55" t="str">
        <f>IF(AND(OR(L1091="131",M1091="131"),H1091='131-CT'!$E$7),"x","")</f>
        <v/>
      </c>
      <c r="X1091" s="55" t="str">
        <f>IF(AND(B1091&gt;='IN-NX'!$P$3,B1091&lt;='IN-NX'!$Q$3,'IN-NX'!$D$7=D1091,OR(LEFT(TH!L1091,2)="15",LEFT(TH!M1091,2)="15")),"x","")</f>
        <v/>
      </c>
      <c r="Y1091" s="55" t="str">
        <f>IF(AND(OR(LEFT(TH!L1091,2)="15",LEFT(TH!M1091,2)="15"),'152-CT'!$J$8=TH!F1091),"x","")</f>
        <v/>
      </c>
      <c r="Z1091" s="55" t="str">
        <f>IF(AND(OR(LEFT(TH!L1091,2)="15",LEFT(TH!M1091,2)="15"),TK!$E$7=TH!F1091),"x","")</f>
        <v/>
      </c>
      <c r="AA1091" s="55" t="str">
        <f>IF(AND(B1091&lt;=NKC!$N$8,B1091&gt;=NKC!$M$8),"x","")</f>
        <v>x</v>
      </c>
    </row>
    <row r="1092" spans="1:29" s="226" customFormat="1" ht="15.75" customHeight="1">
      <c r="A1092" s="219" t="str">
        <f>IF(B1092&lt;&gt;"",IF(AND(B1092&gt;=_TM1,B1092&lt;=_TM2,OR(TH!L1092="1111",TH!M1092="1111")),TH!D1092,""),"")</f>
        <v/>
      </c>
      <c r="B1092" s="36">
        <f t="shared" si="48"/>
        <v>5</v>
      </c>
      <c r="C1092" s="205">
        <f t="shared" si="47"/>
        <v>41033</v>
      </c>
      <c r="D1092" s="904"/>
      <c r="E1092" s="904">
        <v>41033</v>
      </c>
      <c r="F1092" s="206" t="s">
        <v>1185</v>
      </c>
      <c r="G1092" s="577" t="s">
        <v>1293</v>
      </c>
      <c r="H1092" s="207" t="s">
        <v>1294</v>
      </c>
      <c r="I1092" s="277"/>
      <c r="J1092" s="277"/>
      <c r="K1092" s="698">
        <v>755834</v>
      </c>
      <c r="L1092" s="208" t="s">
        <v>49</v>
      </c>
      <c r="M1092" s="208" t="s">
        <v>549</v>
      </c>
      <c r="N1092" s="55" t="str">
        <f>IF(AND('331-CT'!$E$7=TH!H1092,OR(L1092="331",M1092="331")),"x","")</f>
        <v/>
      </c>
      <c r="O1092" s="55" t="str">
        <f>IF(AND($B1092&gt;='111'!$N$11,$B1092&lt;='111'!$O$11,OR($L1092=$O$7,$M1092=$O$7)),"x","")</f>
        <v/>
      </c>
      <c r="P1092" s="55" t="str">
        <f>IF(AND($L1092=$O$7,$B1092&lt;'111'!$N$11),"x","")</f>
        <v>x</v>
      </c>
      <c r="Q1092" s="55" t="str">
        <f>IF(AND($M1092=$O$7,$B1092&lt;'111'!$N$11),"x","")</f>
        <v/>
      </c>
      <c r="R1092" s="55" t="str">
        <f>IF(ISERROR(FIND('112'!$M$9,G1092,1)),"",IF((AND(FIND('112'!$M$9,G1092,1)&gt;=1,$B1092&gt;='112'!$N$8,$B1092&lt;='112'!$O$8,OR($L1092='112'!$I$6,$M1092='112'!$I$6))),"x",""))</f>
        <v/>
      </c>
      <c r="S1092" s="55" t="str">
        <f>IF(ISERROR(FIND('112'!$M$9,G1092,1)),"",IF((AND(LEFT(G1092,2)=LEFT('112'!$M$9,2),B1092&lt;'112'!$N$8,$L1092='112'!$I$6)),"x",""))</f>
        <v/>
      </c>
      <c r="T1092" s="55" t="str">
        <f>IF(ISERROR(FIND('112'!$M$9,G1092,1)),"",IF((AND(RIGHT(G1092,2)=RIGHT('112'!$M$9,2),B1092&lt;'112'!$N$8,$M1092='112'!$I$6)),"x",""))</f>
        <v/>
      </c>
      <c r="U1092" s="55" t="str">
        <f>IF(AND('3411-CT'!$F$9=H1092,OR(LEFT(L1092,3)=$U$7,LEFT(M1092,3)=$U$7)),"x","")</f>
        <v/>
      </c>
      <c r="V1092" s="55" t="str">
        <f>IF(OR(TH!L1092=TH!$V$7,M1092=TH!$V$7),"x","")</f>
        <v/>
      </c>
      <c r="W1092" s="55" t="str">
        <f>IF(AND(OR(L1092="131",M1092="131"),H1092='131-CT'!$E$7),"x","")</f>
        <v/>
      </c>
      <c r="X1092" s="55" t="str">
        <f>IF(AND(B1092&gt;='IN-NX'!$P$3,B1092&lt;='IN-NX'!$Q$3,'IN-NX'!$D$7=D1092,OR(LEFT(TH!L1092,2)="15",LEFT(TH!M1092,2)="15")),"x","")</f>
        <v/>
      </c>
      <c r="Y1092" s="55" t="str">
        <f>IF(AND(OR(LEFT(TH!L1092,2)="15",LEFT(TH!M1092,2)="15"),'152-CT'!$J$8=TH!F1092),"x","")</f>
        <v/>
      </c>
      <c r="Z1092" s="55" t="str">
        <f>IF(AND(OR(LEFT(TH!L1092,2)="15",LEFT(TH!M1092,2)="15"),TK!$E$7=TH!F1092),"x","")</f>
        <v/>
      </c>
      <c r="AA1092" s="55" t="str">
        <f>IF(AND(B1092&lt;=NKC!$N$8,B1092&gt;=NKC!$M$8),"x","")</f>
        <v>x</v>
      </c>
    </row>
    <row r="1093" spans="1:29" s="226" customFormat="1" ht="15.75" customHeight="1">
      <c r="A1093" s="219" t="str">
        <f>IF(B1093&lt;&gt;"",IF(AND(B1093&gt;=_TM1,B1093&lt;=_TM2,OR(TH!L1093="1111",TH!M1093="1111")),TH!D1093,""),"")</f>
        <v/>
      </c>
      <c r="B1093" s="36">
        <f t="shared" si="48"/>
        <v>5</v>
      </c>
      <c r="C1093" s="205">
        <f t="shared" si="47"/>
        <v>41033</v>
      </c>
      <c r="D1093" s="907"/>
      <c r="E1093" s="904">
        <v>41033</v>
      </c>
      <c r="F1093" s="908" t="s">
        <v>1296</v>
      </c>
      <c r="G1093" s="909" t="s">
        <v>1297</v>
      </c>
      <c r="H1093" s="7" t="s">
        <v>416</v>
      </c>
      <c r="I1093" s="910">
        <v>897</v>
      </c>
      <c r="J1093" s="910">
        <v>6210</v>
      </c>
      <c r="K1093" s="698">
        <f t="shared" si="46"/>
        <v>5570370</v>
      </c>
      <c r="L1093" s="208" t="s">
        <v>311</v>
      </c>
      <c r="M1093" s="208" t="s">
        <v>208</v>
      </c>
      <c r="N1093" s="55" t="str">
        <f>IF(AND('331-CT'!$E$7=TH!H1093,OR(L1093="331",M1093="331")),"x","")</f>
        <v/>
      </c>
      <c r="O1093" s="55" t="str">
        <f>IF(AND($B1093&gt;='111'!$N$11,$B1093&lt;='111'!$O$11,OR($L1093=$O$7,$M1093=$O$7)),"x","")</f>
        <v/>
      </c>
      <c r="P1093" s="55" t="str">
        <f>IF(AND($L1093=$O$7,$B1093&lt;'111'!$N$11),"x","")</f>
        <v/>
      </c>
      <c r="Q1093" s="55" t="str">
        <f>IF(AND($M1093=$O$7,$B1093&lt;'111'!$N$11),"x","")</f>
        <v/>
      </c>
      <c r="R1093" s="55" t="str">
        <f>IF(ISERROR(FIND('112'!$M$9,G1093,1)),"",IF((AND(FIND('112'!$M$9,G1093,1)&gt;=1,$B1093&gt;='112'!$N$8,$B1093&lt;='112'!$O$8,OR($L1093='112'!$I$6,$M1093='112'!$I$6))),"x",""))</f>
        <v/>
      </c>
      <c r="S1093" s="55" t="str">
        <f>IF(ISERROR(FIND('112'!$M$9,G1093,1)),"",IF((AND(LEFT(G1093,2)=LEFT('112'!$M$9,2),B1093&lt;'112'!$N$8,$L1093='112'!$I$6)),"x",""))</f>
        <v/>
      </c>
      <c r="T1093" s="55" t="str">
        <f>IF(ISERROR(FIND('112'!$M$9,G1093,1)),"",IF((AND(RIGHT(G1093,2)=RIGHT('112'!$M$9,2),B1093&lt;'112'!$N$8,$M1093='112'!$I$6)),"x",""))</f>
        <v/>
      </c>
      <c r="U1093" s="55" t="str">
        <f>IF(AND('3411-CT'!$F$9=H1093,OR(LEFT(L1093,3)=$U$7,LEFT(M1093,3)=$U$7)),"x","")</f>
        <v/>
      </c>
      <c r="V1093" s="55" t="str">
        <f>IF(OR(TH!L1093=TH!$V$7,M1093=TH!$V$7),"x","")</f>
        <v/>
      </c>
      <c r="W1093" s="55" t="str">
        <f>IF(AND(OR(L1093="131",M1093="131"),H1093='131-CT'!$E$7),"x","")</f>
        <v/>
      </c>
      <c r="X1093" s="55" t="str">
        <f>IF(AND(B1093&gt;='IN-NX'!$P$3,B1093&lt;='IN-NX'!$Q$3,'IN-NX'!$D$7=D1093,OR(LEFT(TH!L1093,2)="15",LEFT(TH!M1093,2)="15")),"x","")</f>
        <v/>
      </c>
      <c r="Y1093" s="55" t="str">
        <f>IF(AND(OR(LEFT(TH!L1093,2)="15",LEFT(TH!M1093,2)="15"),'152-CT'!$J$8=TH!F1093),"x","")</f>
        <v/>
      </c>
      <c r="Z1093" s="55" t="str">
        <f>IF(AND(OR(LEFT(TH!L1093,2)="15",LEFT(TH!M1093,2)="15"),TK!$E$7=TH!F1093),"x","")</f>
        <v/>
      </c>
      <c r="AA1093" s="55" t="str">
        <f>IF(AND(B1093&lt;=NKC!$N$8,B1093&gt;=NKC!$M$8),"x","")</f>
        <v>x</v>
      </c>
    </row>
    <row r="1094" spans="1:29" s="226" customFormat="1" ht="15.75" customHeight="1">
      <c r="A1094" s="219" t="str">
        <f>IF(B1094&lt;&gt;"",IF(AND(B1094&gt;=_TM1,B1094&lt;=_TM2,OR(TH!L1094="1111",TH!M1094="1111")),TH!D1094,""),"")</f>
        <v/>
      </c>
      <c r="B1094" s="36">
        <f t="shared" si="48"/>
        <v>5</v>
      </c>
      <c r="C1094" s="205">
        <f t="shared" si="47"/>
        <v>41033</v>
      </c>
      <c r="D1094" s="893"/>
      <c r="E1094" s="904">
        <v>41033</v>
      </c>
      <c r="F1094" s="908" t="s">
        <v>1298</v>
      </c>
      <c r="G1094" s="909" t="s">
        <v>1297</v>
      </c>
      <c r="H1094" s="7" t="s">
        <v>416</v>
      </c>
      <c r="I1094" s="275">
        <v>287</v>
      </c>
      <c r="J1094" s="275">
        <v>8208</v>
      </c>
      <c r="K1094" s="698">
        <f t="shared" si="46"/>
        <v>2355696</v>
      </c>
      <c r="L1094" s="208" t="s">
        <v>311</v>
      </c>
      <c r="M1094" s="208" t="s">
        <v>208</v>
      </c>
      <c r="N1094" s="55" t="str">
        <f>IF(AND('331-CT'!$E$7=TH!H1094,OR(L1094="331",M1094="331")),"x","")</f>
        <v/>
      </c>
      <c r="O1094" s="55" t="str">
        <f>IF(AND($B1094&gt;='111'!$N$11,$B1094&lt;='111'!$O$11,OR($L1094=$O$7,$M1094=$O$7)),"x","")</f>
        <v/>
      </c>
      <c r="P1094" s="55" t="str">
        <f>IF(AND($L1094=$O$7,$B1094&lt;'111'!$N$11),"x","")</f>
        <v/>
      </c>
      <c r="Q1094" s="55" t="str">
        <f>IF(AND($M1094=$O$7,$B1094&lt;'111'!$N$11),"x","")</f>
        <v/>
      </c>
      <c r="R1094" s="55" t="str">
        <f>IF(ISERROR(FIND('112'!$M$9,G1094,1)),"",IF((AND(FIND('112'!$M$9,G1094,1)&gt;=1,$B1094&gt;='112'!$N$8,$B1094&lt;='112'!$O$8,OR($L1094='112'!$I$6,$M1094='112'!$I$6))),"x",""))</f>
        <v/>
      </c>
      <c r="S1094" s="55" t="str">
        <f>IF(ISERROR(FIND('112'!$M$9,G1094,1)),"",IF((AND(LEFT(G1094,2)=LEFT('112'!$M$9,2),B1094&lt;'112'!$N$8,$L1094='112'!$I$6)),"x",""))</f>
        <v/>
      </c>
      <c r="T1094" s="55" t="str">
        <f>IF(ISERROR(FIND('112'!$M$9,G1094,1)),"",IF((AND(RIGHT(G1094,2)=RIGHT('112'!$M$9,2),B1094&lt;'112'!$N$8,$M1094='112'!$I$6)),"x",""))</f>
        <v/>
      </c>
      <c r="U1094" s="55" t="str">
        <f>IF(AND('3411-CT'!$F$9=H1094,OR(LEFT(L1094,3)=$U$7,LEFT(M1094,3)=$U$7)),"x","")</f>
        <v/>
      </c>
      <c r="V1094" s="55" t="str">
        <f>IF(OR(TH!L1094=TH!$V$7,M1094=TH!$V$7),"x","")</f>
        <v/>
      </c>
      <c r="W1094" s="55" t="str">
        <f>IF(AND(OR(L1094="131",M1094="131"),H1094='131-CT'!$E$7),"x","")</f>
        <v/>
      </c>
      <c r="X1094" s="55" t="str">
        <f>IF(AND(B1094&gt;='IN-NX'!$P$3,B1094&lt;='IN-NX'!$Q$3,'IN-NX'!$D$7=D1094,OR(LEFT(TH!L1094,2)="15",LEFT(TH!M1094,2)="15")),"x","")</f>
        <v/>
      </c>
      <c r="Y1094" s="55" t="str">
        <f>IF(AND(OR(LEFT(TH!L1094,2)="15",LEFT(TH!M1094,2)="15"),'152-CT'!$J$8=TH!F1094),"x","")</f>
        <v/>
      </c>
      <c r="Z1094" s="55" t="str">
        <f>IF(AND(OR(LEFT(TH!L1094,2)="15",LEFT(TH!M1094,2)="15"),TK!$E$7=TH!F1094),"x","")</f>
        <v/>
      </c>
      <c r="AA1094" s="55" t="str">
        <f>IF(AND(B1094&lt;=NKC!$N$8,B1094&gt;=NKC!$M$8),"x","")</f>
        <v>x</v>
      </c>
    </row>
    <row r="1095" spans="1:29" s="226" customFormat="1" ht="15.75" customHeight="1">
      <c r="A1095" s="219" t="str">
        <f>IF(B1095&lt;&gt;"",IF(AND(B1095&gt;=_TM1,B1095&lt;=_TM2,OR(TH!L1095="1111",TH!M1095="1111")),TH!D1095,""),"")</f>
        <v/>
      </c>
      <c r="B1095" s="36">
        <f t="shared" si="48"/>
        <v>5</v>
      </c>
      <c r="C1095" s="205">
        <f t="shared" si="47"/>
        <v>41033</v>
      </c>
      <c r="D1095" s="893"/>
      <c r="E1095" s="904">
        <v>41033</v>
      </c>
      <c r="F1095" s="908" t="s">
        <v>1299</v>
      </c>
      <c r="G1095" s="909" t="s">
        <v>1297</v>
      </c>
      <c r="H1095" s="7" t="s">
        <v>416</v>
      </c>
      <c r="I1095" s="275">
        <v>254</v>
      </c>
      <c r="J1095" s="275">
        <v>11699</v>
      </c>
      <c r="K1095" s="698">
        <f t="shared" si="46"/>
        <v>2971546</v>
      </c>
      <c r="L1095" s="208" t="s">
        <v>311</v>
      </c>
      <c r="M1095" s="208" t="s">
        <v>208</v>
      </c>
      <c r="N1095" s="55" t="str">
        <f>IF(AND('331-CT'!$E$7=TH!H1095,OR(L1095="331",M1095="331")),"x","")</f>
        <v/>
      </c>
      <c r="O1095" s="55" t="str">
        <f>IF(AND($B1095&gt;='111'!$N$11,$B1095&lt;='111'!$O$11,OR($L1095=$O$7,$M1095=$O$7)),"x","")</f>
        <v/>
      </c>
      <c r="P1095" s="55" t="str">
        <f>IF(AND($L1095=$O$7,$B1095&lt;'111'!$N$11),"x","")</f>
        <v/>
      </c>
      <c r="Q1095" s="55" t="str">
        <f>IF(AND($M1095=$O$7,$B1095&lt;'111'!$N$11),"x","")</f>
        <v/>
      </c>
      <c r="R1095" s="55" t="str">
        <f>IF(ISERROR(FIND('112'!$M$9,G1095,1)),"",IF((AND(FIND('112'!$M$9,G1095,1)&gt;=1,$B1095&gt;='112'!$N$8,$B1095&lt;='112'!$O$8,OR($L1095='112'!$I$6,$M1095='112'!$I$6))),"x",""))</f>
        <v/>
      </c>
      <c r="S1095" s="55" t="str">
        <f>IF(ISERROR(FIND('112'!$M$9,G1095,1)),"",IF((AND(LEFT(G1095,2)=LEFT('112'!$M$9,2),B1095&lt;'112'!$N$8,$L1095='112'!$I$6)),"x",""))</f>
        <v/>
      </c>
      <c r="T1095" s="55" t="str">
        <f>IF(ISERROR(FIND('112'!$M$9,G1095,1)),"",IF((AND(RIGHT(G1095,2)=RIGHT('112'!$M$9,2),B1095&lt;'112'!$N$8,$M1095='112'!$I$6)),"x",""))</f>
        <v/>
      </c>
      <c r="U1095" s="55" t="str">
        <f>IF(AND('3411-CT'!$F$9=H1095,OR(LEFT(L1095,3)=$U$7,LEFT(M1095,3)=$U$7)),"x","")</f>
        <v/>
      </c>
      <c r="V1095" s="55" t="str">
        <f>IF(OR(TH!L1095=TH!$V$7,M1095=TH!$V$7),"x","")</f>
        <v/>
      </c>
      <c r="W1095" s="55" t="str">
        <f>IF(AND(OR(L1095="131",M1095="131"),H1095='131-CT'!$E$7),"x","")</f>
        <v/>
      </c>
      <c r="X1095" s="55" t="str">
        <f>IF(AND(B1095&gt;='IN-NX'!$P$3,B1095&lt;='IN-NX'!$Q$3,'IN-NX'!$D$7=D1095,OR(LEFT(TH!L1095,2)="15",LEFT(TH!M1095,2)="15")),"x","")</f>
        <v/>
      </c>
      <c r="Y1095" s="55" t="str">
        <f>IF(AND(OR(LEFT(TH!L1095,2)="15",LEFT(TH!M1095,2)="15"),'152-CT'!$J$8=TH!F1095),"x","")</f>
        <v/>
      </c>
      <c r="Z1095" s="55" t="str">
        <f>IF(AND(OR(LEFT(TH!L1095,2)="15",LEFT(TH!M1095,2)="15"),TK!$E$7=TH!F1095),"x","")</f>
        <v/>
      </c>
      <c r="AA1095" s="55" t="str">
        <f>IF(AND(B1095&lt;=NKC!$N$8,B1095&gt;=NKC!$M$8),"x","")</f>
        <v>x</v>
      </c>
    </row>
    <row r="1096" spans="1:29" s="226" customFormat="1" ht="15.75" customHeight="1">
      <c r="A1096" s="219" t="str">
        <f>IF(B1096&lt;&gt;"",IF(AND(B1096&gt;=_TM1,B1096&lt;=_TM2,OR(TH!L1096="1111",TH!M1096="1111")),TH!D1096,""),"")</f>
        <v/>
      </c>
      <c r="B1096" s="36">
        <f t="shared" si="48"/>
        <v>5</v>
      </c>
      <c r="C1096" s="205">
        <f t="shared" si="47"/>
        <v>41033</v>
      </c>
      <c r="D1096" s="893"/>
      <c r="E1096" s="904">
        <v>41033</v>
      </c>
      <c r="F1096" s="908" t="s">
        <v>1300</v>
      </c>
      <c r="G1096" s="909" t="s">
        <v>1297</v>
      </c>
      <c r="H1096" s="7" t="s">
        <v>416</v>
      </c>
      <c r="I1096" s="275">
        <v>297</v>
      </c>
      <c r="J1096" s="275">
        <v>9880</v>
      </c>
      <c r="K1096" s="698">
        <f t="shared" si="46"/>
        <v>2934360</v>
      </c>
      <c r="L1096" s="208" t="s">
        <v>311</v>
      </c>
      <c r="M1096" s="208" t="s">
        <v>208</v>
      </c>
      <c r="N1096" s="55" t="str">
        <f>IF(AND('331-CT'!$E$7=TH!H1096,OR(L1096="331",M1096="331")),"x","")</f>
        <v/>
      </c>
      <c r="O1096" s="55" t="str">
        <f>IF(AND($B1096&gt;='111'!$N$11,$B1096&lt;='111'!$O$11,OR($L1096=$O$7,$M1096=$O$7)),"x","")</f>
        <v/>
      </c>
      <c r="P1096" s="55" t="str">
        <f>IF(AND($L1096=$O$7,$B1096&lt;'111'!$N$11),"x","")</f>
        <v/>
      </c>
      <c r="Q1096" s="55" t="str">
        <f>IF(AND($M1096=$O$7,$B1096&lt;'111'!$N$11),"x","")</f>
        <v/>
      </c>
      <c r="R1096" s="55" t="str">
        <f>IF(ISERROR(FIND('112'!$M$9,G1096,1)),"",IF((AND(FIND('112'!$M$9,G1096,1)&gt;=1,$B1096&gt;='112'!$N$8,$B1096&lt;='112'!$O$8,OR($L1096='112'!$I$6,$M1096='112'!$I$6))),"x",""))</f>
        <v/>
      </c>
      <c r="S1096" s="55" t="str">
        <f>IF(ISERROR(FIND('112'!$M$9,G1096,1)),"",IF((AND(LEFT(G1096,2)=LEFT('112'!$M$9,2),B1096&lt;'112'!$N$8,$L1096='112'!$I$6)),"x",""))</f>
        <v/>
      </c>
      <c r="T1096" s="55" t="str">
        <f>IF(ISERROR(FIND('112'!$M$9,G1096,1)),"",IF((AND(RIGHT(G1096,2)=RIGHT('112'!$M$9,2),B1096&lt;'112'!$N$8,$M1096='112'!$I$6)),"x",""))</f>
        <v/>
      </c>
      <c r="U1096" s="55" t="str">
        <f>IF(AND('3411-CT'!$F$9=H1096,OR(LEFT(L1096,3)=$U$7,LEFT(M1096,3)=$U$7)),"x","")</f>
        <v/>
      </c>
      <c r="V1096" s="55" t="str">
        <f>IF(OR(TH!L1096=TH!$V$7,M1096=TH!$V$7),"x","")</f>
        <v/>
      </c>
      <c r="W1096" s="55" t="str">
        <f>IF(AND(OR(L1096="131",M1096="131"),H1096='131-CT'!$E$7),"x","")</f>
        <v/>
      </c>
      <c r="X1096" s="55" t="str">
        <f>IF(AND(B1096&gt;='IN-NX'!$P$3,B1096&lt;='IN-NX'!$Q$3,'IN-NX'!$D$7=D1096,OR(LEFT(TH!L1096,2)="15",LEFT(TH!M1096,2)="15")),"x","")</f>
        <v/>
      </c>
      <c r="Y1096" s="55" t="str">
        <f>IF(AND(OR(LEFT(TH!L1096,2)="15",LEFT(TH!M1096,2)="15"),'152-CT'!$J$8=TH!F1096),"x","")</f>
        <v/>
      </c>
      <c r="Z1096" s="55" t="str">
        <f>IF(AND(OR(LEFT(TH!L1096,2)="15",LEFT(TH!M1096,2)="15"),TK!$E$7=TH!F1096),"x","")</f>
        <v/>
      </c>
      <c r="AA1096" s="55" t="str">
        <f>IF(AND(B1096&lt;=NKC!$N$8,B1096&gt;=NKC!$M$8),"x","")</f>
        <v>x</v>
      </c>
    </row>
    <row r="1097" spans="1:29" s="226" customFormat="1" ht="15.75" customHeight="1">
      <c r="A1097" s="219" t="str">
        <f>IF(B1097&lt;&gt;"",IF(AND(B1097&gt;=_TM1,B1097&lt;=_TM2,OR(TH!L1097="1111",TH!M1097="1111")),TH!D1097,""),"")</f>
        <v/>
      </c>
      <c r="B1097" s="36">
        <f t="shared" si="48"/>
        <v>5</v>
      </c>
      <c r="C1097" s="205">
        <f t="shared" si="47"/>
        <v>41033</v>
      </c>
      <c r="D1097" s="893"/>
      <c r="E1097" s="904">
        <v>41033</v>
      </c>
      <c r="F1097" s="908" t="s">
        <v>1301</v>
      </c>
      <c r="G1097" s="909" t="s">
        <v>1297</v>
      </c>
      <c r="H1097" s="7" t="s">
        <v>416</v>
      </c>
      <c r="I1097" s="275">
        <v>80</v>
      </c>
      <c r="J1097" s="275">
        <v>13320</v>
      </c>
      <c r="K1097" s="698">
        <f t="shared" si="46"/>
        <v>1065600</v>
      </c>
      <c r="L1097" s="208" t="s">
        <v>311</v>
      </c>
      <c r="M1097" s="208" t="s">
        <v>208</v>
      </c>
      <c r="N1097" s="55" t="str">
        <f>IF(AND('331-CT'!$E$7=TH!H1097,OR(L1097="331",M1097="331")),"x","")</f>
        <v/>
      </c>
      <c r="O1097" s="55" t="str">
        <f>IF(AND($B1097&gt;='111'!$N$11,$B1097&lt;='111'!$O$11,OR($L1097=$O$7,$M1097=$O$7)),"x","")</f>
        <v/>
      </c>
      <c r="P1097" s="55" t="str">
        <f>IF(AND($L1097=$O$7,$B1097&lt;'111'!$N$11),"x","")</f>
        <v/>
      </c>
      <c r="Q1097" s="55" t="str">
        <f>IF(AND($M1097=$O$7,$B1097&lt;'111'!$N$11),"x","")</f>
        <v/>
      </c>
      <c r="R1097" s="55" t="str">
        <f>IF(ISERROR(FIND('112'!$M$9,G1097,1)),"",IF((AND(FIND('112'!$M$9,G1097,1)&gt;=1,$B1097&gt;='112'!$N$8,$B1097&lt;='112'!$O$8,OR($L1097='112'!$I$6,$M1097='112'!$I$6))),"x",""))</f>
        <v/>
      </c>
      <c r="S1097" s="55" t="str">
        <f>IF(ISERROR(FIND('112'!$M$9,G1097,1)),"",IF((AND(LEFT(G1097,2)=LEFT('112'!$M$9,2),B1097&lt;'112'!$N$8,$L1097='112'!$I$6)),"x",""))</f>
        <v/>
      </c>
      <c r="T1097" s="55" t="str">
        <f>IF(ISERROR(FIND('112'!$M$9,G1097,1)),"",IF((AND(RIGHT(G1097,2)=RIGHT('112'!$M$9,2),B1097&lt;'112'!$N$8,$M1097='112'!$I$6)),"x",""))</f>
        <v/>
      </c>
      <c r="U1097" s="55" t="str">
        <f>IF(AND('3411-CT'!$F$9=H1097,OR(LEFT(L1097,3)=$U$7,LEFT(M1097,3)=$U$7)),"x","")</f>
        <v/>
      </c>
      <c r="V1097" s="55" t="str">
        <f>IF(OR(TH!L1097=TH!$V$7,M1097=TH!$V$7),"x","")</f>
        <v/>
      </c>
      <c r="W1097" s="55" t="str">
        <f>IF(AND(OR(L1097="131",M1097="131"),H1097='131-CT'!$E$7),"x","")</f>
        <v/>
      </c>
      <c r="X1097" s="55" t="str">
        <f>IF(AND(B1097&gt;='IN-NX'!$P$3,B1097&lt;='IN-NX'!$Q$3,'IN-NX'!$D$7=D1097,OR(LEFT(TH!L1097,2)="15",LEFT(TH!M1097,2)="15")),"x","")</f>
        <v/>
      </c>
      <c r="Y1097" s="55" t="str">
        <f>IF(AND(OR(LEFT(TH!L1097,2)="15",LEFT(TH!M1097,2)="15"),'152-CT'!$J$8=TH!F1097),"x","")</f>
        <v/>
      </c>
      <c r="Z1097" s="55" t="str">
        <f>IF(AND(OR(LEFT(TH!L1097,2)="15",LEFT(TH!M1097,2)="15"),TK!$E$7=TH!F1097),"x","")</f>
        <v/>
      </c>
      <c r="AA1097" s="55" t="str">
        <f>IF(AND(B1097&lt;=NKC!$N$8,B1097&gt;=NKC!$M$8),"x","")</f>
        <v>x</v>
      </c>
    </row>
    <row r="1098" spans="1:29" s="226" customFormat="1" ht="15.75" customHeight="1">
      <c r="A1098" s="219" t="str">
        <f>IF(B1098&lt;&gt;"",IF(AND(B1098&gt;=_TM1,B1098&lt;=_TM2,OR(TH!L1098="1111",TH!M1098="1111")),TH!D1098,""),"")</f>
        <v/>
      </c>
      <c r="B1098" s="36">
        <f t="shared" si="48"/>
        <v>5</v>
      </c>
      <c r="C1098" s="205">
        <f t="shared" si="47"/>
        <v>41033</v>
      </c>
      <c r="D1098" s="205"/>
      <c r="E1098" s="904">
        <v>41033</v>
      </c>
      <c r="F1098" s="206" t="s">
        <v>1185</v>
      </c>
      <c r="G1098" s="909" t="s">
        <v>1297</v>
      </c>
      <c r="H1098" s="7" t="s">
        <v>416</v>
      </c>
      <c r="I1098" s="277"/>
      <c r="J1098" s="277"/>
      <c r="K1098" s="698">
        <v>1489757</v>
      </c>
      <c r="L1098" s="208" t="s">
        <v>311</v>
      </c>
      <c r="M1098" s="208" t="s">
        <v>549</v>
      </c>
      <c r="N1098" s="55" t="str">
        <f>IF(AND('331-CT'!$E$7=TH!H1098,OR(L1098="331",M1098="331")),"x","")</f>
        <v/>
      </c>
      <c r="O1098" s="55" t="str">
        <f>IF(AND($B1098&gt;='111'!$N$11,$B1098&lt;='111'!$O$11,OR($L1098=$O$7,$M1098=$O$7)),"x","")</f>
        <v/>
      </c>
      <c r="P1098" s="55" t="str">
        <f>IF(AND($L1098=$O$7,$B1098&lt;'111'!$N$11),"x","")</f>
        <v/>
      </c>
      <c r="Q1098" s="55" t="str">
        <f>IF(AND($M1098=$O$7,$B1098&lt;'111'!$N$11),"x","")</f>
        <v/>
      </c>
      <c r="R1098" s="55" t="str">
        <f>IF(ISERROR(FIND('112'!$M$9,G1098,1)),"",IF((AND(FIND('112'!$M$9,G1098,1)&gt;=1,$B1098&gt;='112'!$N$8,$B1098&lt;='112'!$O$8,OR($L1098='112'!$I$6,$M1098='112'!$I$6))),"x",""))</f>
        <v/>
      </c>
      <c r="S1098" s="55" t="str">
        <f>IF(ISERROR(FIND('112'!$M$9,G1098,1)),"",IF((AND(LEFT(G1098,2)=LEFT('112'!$M$9,2),B1098&lt;'112'!$N$8,$L1098='112'!$I$6)),"x",""))</f>
        <v/>
      </c>
      <c r="T1098" s="55" t="str">
        <f>IF(ISERROR(FIND('112'!$M$9,G1098,1)),"",IF((AND(RIGHT(G1098,2)=RIGHT('112'!$M$9,2),B1098&lt;'112'!$N$8,$M1098='112'!$I$6)),"x",""))</f>
        <v/>
      </c>
      <c r="U1098" s="55" t="str">
        <f>IF(AND('3411-CT'!$F$9=H1098,OR(LEFT(L1098,3)=$U$7,LEFT(M1098,3)=$U$7)),"x","")</f>
        <v/>
      </c>
      <c r="V1098" s="55" t="str">
        <f>IF(OR(TH!L1098=TH!$V$7,M1098=TH!$V$7),"x","")</f>
        <v/>
      </c>
      <c r="W1098" s="55" t="str">
        <f>IF(AND(OR(L1098="131",M1098="131"),H1098='131-CT'!$E$7),"x","")</f>
        <v/>
      </c>
      <c r="X1098" s="55" t="str">
        <f>IF(AND(B1098&gt;='IN-NX'!$P$3,B1098&lt;='IN-NX'!$Q$3,'IN-NX'!$D$7=D1098,OR(LEFT(TH!L1098,2)="15",LEFT(TH!M1098,2)="15")),"x","")</f>
        <v/>
      </c>
      <c r="Y1098" s="55" t="str">
        <f>IF(AND(OR(LEFT(TH!L1098,2)="15",LEFT(TH!M1098,2)="15"),'152-CT'!$J$8=TH!F1098),"x","")</f>
        <v/>
      </c>
      <c r="Z1098" s="55" t="str">
        <f>IF(AND(OR(LEFT(TH!L1098,2)="15",LEFT(TH!M1098,2)="15"),TK!$E$7=TH!F1098),"x","")</f>
        <v/>
      </c>
      <c r="AA1098" s="55" t="str">
        <f>IF(AND(B1098&lt;=NKC!$N$8,B1098&gt;=NKC!$M$8),"x","")</f>
        <v>x</v>
      </c>
    </row>
    <row r="1099" spans="1:29" ht="15.75" customHeight="1">
      <c r="A1099" s="219" t="str">
        <f>IF(B1099&lt;&gt;"",IF(AND(B1099&gt;=_TM1,B1099&lt;=_TM2,OR(TH!L1099="1111",TH!M1099="1111")),TH!D1099,""),"")</f>
        <v/>
      </c>
      <c r="B1099" s="36">
        <f t="shared" si="48"/>
        <v>5</v>
      </c>
      <c r="C1099" s="205">
        <f t="shared" si="47"/>
        <v>41036</v>
      </c>
      <c r="D1099" s="205"/>
      <c r="E1099" s="205">
        <v>41036</v>
      </c>
      <c r="F1099" s="206" t="s">
        <v>1302</v>
      </c>
      <c r="G1099" s="581" t="s">
        <v>1303</v>
      </c>
      <c r="H1099" s="207" t="s">
        <v>1207</v>
      </c>
      <c r="I1099" s="277">
        <v>308</v>
      </c>
      <c r="J1099" s="277">
        <v>5200</v>
      </c>
      <c r="K1099" s="698">
        <f t="shared" si="46"/>
        <v>1601600</v>
      </c>
      <c r="L1099" s="208" t="s">
        <v>49</v>
      </c>
      <c r="M1099" s="208" t="s">
        <v>208</v>
      </c>
      <c r="N1099" s="55" t="str">
        <f>IF(AND('331-CT'!$E$7=TH!H1099,OR(L1099="331",M1099="331")),"x","")</f>
        <v/>
      </c>
      <c r="O1099" s="55" t="str">
        <f>IF(AND($B1099&gt;='111'!$N$11,$B1099&lt;='111'!$O$11,OR($L1099=$O$7,$M1099=$O$7)),"x","")</f>
        <v/>
      </c>
      <c r="P1099" s="55" t="str">
        <f>IF(AND($L1099=$O$7,$B1099&lt;'111'!$N$11),"x","")</f>
        <v>x</v>
      </c>
      <c r="Q1099" s="55" t="str">
        <f>IF(AND($M1099=$O$7,$B1099&lt;'111'!$N$11),"x","")</f>
        <v/>
      </c>
      <c r="R1099" s="55" t="str">
        <f>IF(ISERROR(FIND('112'!$M$9,G1099,1)),"",IF((AND(FIND('112'!$M$9,G1099,1)&gt;=1,$B1099&gt;='112'!$N$8,$B1099&lt;='112'!$O$8,OR($L1099='112'!$I$6,$M1099='112'!$I$6))),"x",""))</f>
        <v/>
      </c>
      <c r="S1099" s="55" t="str">
        <f>IF(ISERROR(FIND('112'!$M$9,G1099,1)),"",IF((AND(LEFT(G1099,2)=LEFT('112'!$M$9,2),B1099&lt;'112'!$N$8,$L1099='112'!$I$6)),"x",""))</f>
        <v/>
      </c>
      <c r="T1099" s="55" t="str">
        <f>IF(ISERROR(FIND('112'!$M$9,G1099,1)),"",IF((AND(RIGHT(G1099,2)=RIGHT('112'!$M$9,2),B1099&lt;'112'!$N$8,$M1099='112'!$I$6)),"x",""))</f>
        <v/>
      </c>
      <c r="U1099" s="55" t="str">
        <f>IF(AND('3411-CT'!$F$9=H1099,OR(LEFT(L1099,3)=$U$7,LEFT(M1099,3)=$U$7)),"x","")</f>
        <v/>
      </c>
      <c r="V1099" s="55" t="str">
        <f>IF(OR(TH!L1099=TH!$V$7,M1099=TH!$V$7),"x","")</f>
        <v/>
      </c>
      <c r="W1099" s="55" t="str">
        <f>IF(AND(OR(L1099="131",M1099="131"),H1099='131-CT'!$E$7),"x","")</f>
        <v/>
      </c>
      <c r="X1099" s="55" t="str">
        <f>IF(AND(B1099&gt;='IN-NX'!$P$3,B1099&lt;='IN-NX'!$Q$3,'IN-NX'!$D$7=D1099,OR(LEFT(TH!L1099,2)="15",LEFT(TH!M1099,2)="15")),"x","")</f>
        <v/>
      </c>
      <c r="Y1099" s="55" t="str">
        <f>IF(AND(OR(LEFT(TH!L1099,2)="15",LEFT(TH!M1099,2)="15"),'152-CT'!$J$8=TH!F1099),"x","")</f>
        <v/>
      </c>
      <c r="Z1099" s="55" t="str">
        <f>IF(AND(OR(LEFT(TH!L1099,2)="15",LEFT(TH!M1099,2)="15"),TK!$E$7=TH!F1099),"x","")</f>
        <v/>
      </c>
      <c r="AA1099" s="55" t="str">
        <f>IF(AND(B1099&lt;=NKC!$N$8,B1099&gt;=NKC!$M$8),"x","")</f>
        <v>x</v>
      </c>
    </row>
    <row r="1100" spans="1:29" ht="15.75" customHeight="1">
      <c r="A1100" s="219" t="str">
        <f>IF(B1100&lt;&gt;"",IF(AND(B1100&gt;=_TM1,B1100&lt;=_TM2,OR(TH!L1100="1111",TH!M1100="1111")),TH!D1100,""),"")</f>
        <v/>
      </c>
      <c r="B1100" s="36">
        <f t="shared" si="48"/>
        <v>5</v>
      </c>
      <c r="C1100" s="205">
        <f t="shared" si="47"/>
        <v>41036</v>
      </c>
      <c r="D1100" s="205"/>
      <c r="E1100" s="205">
        <v>41036</v>
      </c>
      <c r="F1100" s="206" t="s">
        <v>1304</v>
      </c>
      <c r="G1100" s="581" t="s">
        <v>1303</v>
      </c>
      <c r="H1100" s="207" t="s">
        <v>1207</v>
      </c>
      <c r="I1100" s="277">
        <v>500</v>
      </c>
      <c r="J1100" s="277">
        <v>603</v>
      </c>
      <c r="K1100" s="698">
        <f t="shared" si="46"/>
        <v>301500</v>
      </c>
      <c r="L1100" s="208" t="s">
        <v>49</v>
      </c>
      <c r="M1100" s="208" t="s">
        <v>208</v>
      </c>
      <c r="N1100" s="55" t="str">
        <f>IF(AND('331-CT'!$E$7=TH!H1100,OR(L1100="331",M1100="331")),"x","")</f>
        <v/>
      </c>
      <c r="O1100" s="55" t="str">
        <f>IF(AND($B1100&gt;='111'!$N$11,$B1100&lt;='111'!$O$11,OR($L1100=$O$7,$M1100=$O$7)),"x","")</f>
        <v/>
      </c>
      <c r="P1100" s="55" t="str">
        <f>IF(AND($L1100=$O$7,$B1100&lt;'111'!$N$11),"x","")</f>
        <v>x</v>
      </c>
      <c r="Q1100" s="55" t="str">
        <f>IF(AND($M1100=$O$7,$B1100&lt;'111'!$N$11),"x","")</f>
        <v/>
      </c>
      <c r="R1100" s="55" t="str">
        <f>IF(ISERROR(FIND('112'!$M$9,G1100,1)),"",IF((AND(FIND('112'!$M$9,G1100,1)&gt;=1,$B1100&gt;='112'!$N$8,$B1100&lt;='112'!$O$8,OR($L1100='112'!$I$6,$M1100='112'!$I$6))),"x",""))</f>
        <v/>
      </c>
      <c r="S1100" s="55" t="str">
        <f>IF(ISERROR(FIND('112'!$M$9,G1100,1)),"",IF((AND(LEFT(G1100,2)=LEFT('112'!$M$9,2),B1100&lt;'112'!$N$8,$L1100='112'!$I$6)),"x",""))</f>
        <v/>
      </c>
      <c r="T1100" s="55" t="str">
        <f>IF(ISERROR(FIND('112'!$M$9,G1100,1)),"",IF((AND(RIGHT(G1100,2)=RIGHT('112'!$M$9,2),B1100&lt;'112'!$N$8,$M1100='112'!$I$6)),"x",""))</f>
        <v/>
      </c>
      <c r="U1100" s="55" t="str">
        <f>IF(AND('3411-CT'!$F$9=H1100,OR(LEFT(L1100,3)=$U$7,LEFT(M1100,3)=$U$7)),"x","")</f>
        <v/>
      </c>
      <c r="V1100" s="55" t="str">
        <f>IF(OR(TH!L1100=TH!$V$7,M1100=TH!$V$7),"x","")</f>
        <v/>
      </c>
      <c r="W1100" s="55" t="str">
        <f>IF(AND(OR(L1100="131",M1100="131"),H1100='131-CT'!$E$7),"x","")</f>
        <v/>
      </c>
      <c r="X1100" s="55" t="str">
        <f>IF(AND(B1100&gt;='IN-NX'!$P$3,B1100&lt;='IN-NX'!$Q$3,'IN-NX'!$D$7=D1100,OR(LEFT(TH!L1100,2)="15",LEFT(TH!M1100,2)="15")),"x","")</f>
        <v/>
      </c>
      <c r="Y1100" s="55" t="str">
        <f>IF(AND(OR(LEFT(TH!L1100,2)="15",LEFT(TH!M1100,2)="15"),'152-CT'!$J$8=TH!F1100),"x","")</f>
        <v/>
      </c>
      <c r="Z1100" s="55" t="str">
        <f>IF(AND(OR(LEFT(TH!L1100,2)="15",LEFT(TH!M1100,2)="15"),TK!$E$7=TH!F1100),"x","")</f>
        <v/>
      </c>
      <c r="AA1100" s="55" t="str">
        <f>IF(AND(B1100&lt;=NKC!$N$8,B1100&gt;=NKC!$M$8),"x","")</f>
        <v>x</v>
      </c>
    </row>
    <row r="1101" spans="1:29" ht="15.75" customHeight="1">
      <c r="A1101" s="219" t="str">
        <f>IF(B1101&lt;&gt;"",IF(AND(B1101&gt;=_TM1,B1101&lt;=_TM2,OR(TH!L1101="1111",TH!M1101="1111")),TH!D1101,""),"")</f>
        <v/>
      </c>
      <c r="B1101" s="36">
        <f t="shared" si="48"/>
        <v>5</v>
      </c>
      <c r="C1101" s="205">
        <f t="shared" si="47"/>
        <v>41036</v>
      </c>
      <c r="D1101" s="205"/>
      <c r="E1101" s="205">
        <v>41036</v>
      </c>
      <c r="F1101" s="206" t="s">
        <v>1305</v>
      </c>
      <c r="G1101" s="581" t="s">
        <v>1303</v>
      </c>
      <c r="H1101" s="207" t="s">
        <v>1207</v>
      </c>
      <c r="I1101" s="277">
        <v>5000</v>
      </c>
      <c r="J1101" s="277">
        <v>460</v>
      </c>
      <c r="K1101" s="698">
        <f t="shared" si="46"/>
        <v>2300000</v>
      </c>
      <c r="L1101" s="208" t="s">
        <v>49</v>
      </c>
      <c r="M1101" s="208" t="s">
        <v>208</v>
      </c>
      <c r="N1101" s="55" t="str">
        <f>IF(AND('331-CT'!$E$7=TH!H1101,OR(L1101="331",M1101="331")),"x","")</f>
        <v/>
      </c>
      <c r="O1101" s="55" t="str">
        <f>IF(AND($B1101&gt;='111'!$N$11,$B1101&lt;='111'!$O$11,OR($L1101=$O$7,$M1101=$O$7)),"x","")</f>
        <v/>
      </c>
      <c r="P1101" s="55" t="str">
        <f>IF(AND($L1101=$O$7,$B1101&lt;'111'!$N$11),"x","")</f>
        <v>x</v>
      </c>
      <c r="Q1101" s="55" t="str">
        <f>IF(AND($M1101=$O$7,$B1101&lt;'111'!$N$11),"x","")</f>
        <v/>
      </c>
      <c r="R1101" s="55" t="str">
        <f>IF(ISERROR(FIND('112'!$M$9,G1101,1)),"",IF((AND(FIND('112'!$M$9,G1101,1)&gt;=1,$B1101&gt;='112'!$N$8,$B1101&lt;='112'!$O$8,OR($L1101='112'!$I$6,$M1101='112'!$I$6))),"x",""))</f>
        <v/>
      </c>
      <c r="S1101" s="55" t="str">
        <f>IF(ISERROR(FIND('112'!$M$9,G1101,1)),"",IF((AND(LEFT(G1101,2)=LEFT('112'!$M$9,2),B1101&lt;'112'!$N$8,$L1101='112'!$I$6)),"x",""))</f>
        <v/>
      </c>
      <c r="T1101" s="55" t="str">
        <f>IF(ISERROR(FIND('112'!$M$9,G1101,1)),"",IF((AND(RIGHT(G1101,2)=RIGHT('112'!$M$9,2),B1101&lt;'112'!$N$8,$M1101='112'!$I$6)),"x",""))</f>
        <v/>
      </c>
      <c r="U1101" s="55" t="str">
        <f>IF(AND('3411-CT'!$F$9=H1101,OR(LEFT(L1101,3)=$U$7,LEFT(M1101,3)=$U$7)),"x","")</f>
        <v/>
      </c>
      <c r="V1101" s="55" t="str">
        <f>IF(OR(TH!L1101=TH!$V$7,M1101=TH!$V$7),"x","")</f>
        <v/>
      </c>
      <c r="W1101" s="55" t="str">
        <f>IF(AND(OR(L1101="131",M1101="131"),H1101='131-CT'!$E$7),"x","")</f>
        <v/>
      </c>
      <c r="X1101" s="55" t="str">
        <f>IF(AND(B1101&gt;='IN-NX'!$P$3,B1101&lt;='IN-NX'!$Q$3,'IN-NX'!$D$7=D1101,OR(LEFT(TH!L1101,2)="15",LEFT(TH!M1101,2)="15")),"x","")</f>
        <v/>
      </c>
      <c r="Y1101" s="55" t="str">
        <f>IF(AND(OR(LEFT(TH!L1101,2)="15",LEFT(TH!M1101,2)="15"),'152-CT'!$J$8=TH!F1101),"x","")</f>
        <v/>
      </c>
      <c r="Z1101" s="55" t="str">
        <f>IF(AND(OR(LEFT(TH!L1101,2)="15",LEFT(TH!M1101,2)="15"),TK!$E$7=TH!F1101),"x","")</f>
        <v/>
      </c>
      <c r="AA1101" s="55" t="str">
        <f>IF(AND(B1101&lt;=NKC!$N$8,B1101&gt;=NKC!$M$8),"x","")</f>
        <v>x</v>
      </c>
    </row>
    <row r="1102" spans="1:29" ht="15.75" customHeight="1">
      <c r="A1102" s="219" t="str">
        <f>IF(B1102&lt;&gt;"",IF(AND(B1102&gt;=_TM1,B1102&lt;=_TM2,OR(TH!L1102="1111",TH!M1102="1111")),TH!D1102,""),"")</f>
        <v/>
      </c>
      <c r="B1102" s="36">
        <f t="shared" si="48"/>
        <v>5</v>
      </c>
      <c r="C1102" s="205">
        <f t="shared" si="47"/>
        <v>41036</v>
      </c>
      <c r="D1102" s="205"/>
      <c r="E1102" s="205">
        <v>41036</v>
      </c>
      <c r="F1102" s="206" t="s">
        <v>1185</v>
      </c>
      <c r="G1102" s="581" t="s">
        <v>1303</v>
      </c>
      <c r="H1102" s="207" t="s">
        <v>1207</v>
      </c>
      <c r="I1102" s="277"/>
      <c r="J1102" s="277"/>
      <c r="K1102" s="698">
        <v>420310</v>
      </c>
      <c r="L1102" s="208" t="s">
        <v>49</v>
      </c>
      <c r="M1102" s="208" t="s">
        <v>549</v>
      </c>
      <c r="N1102" s="55" t="str">
        <f>IF(AND('331-CT'!$E$7=TH!H1102,OR(L1102="331",M1102="331")),"x","")</f>
        <v/>
      </c>
      <c r="O1102" s="55" t="str">
        <f>IF(AND($B1102&gt;='111'!$N$11,$B1102&lt;='111'!$O$11,OR($L1102=$O$7,$M1102=$O$7)),"x","")</f>
        <v/>
      </c>
      <c r="P1102" s="55" t="str">
        <f>IF(AND($L1102=$O$7,$B1102&lt;'111'!$N$11),"x","")</f>
        <v>x</v>
      </c>
      <c r="Q1102" s="55" t="str">
        <f>IF(AND($M1102=$O$7,$B1102&lt;'111'!$N$11),"x","")</f>
        <v/>
      </c>
      <c r="R1102" s="55" t="str">
        <f>IF(ISERROR(FIND('112'!$M$9,G1102,1)),"",IF((AND(FIND('112'!$M$9,G1102,1)&gt;=1,$B1102&gt;='112'!$N$8,$B1102&lt;='112'!$O$8,OR($L1102='112'!$I$6,$M1102='112'!$I$6))),"x",""))</f>
        <v/>
      </c>
      <c r="S1102" s="55" t="str">
        <f>IF(ISERROR(FIND('112'!$M$9,G1102,1)),"",IF((AND(LEFT(G1102,2)=LEFT('112'!$M$9,2),B1102&lt;'112'!$N$8,$L1102='112'!$I$6)),"x",""))</f>
        <v/>
      </c>
      <c r="T1102" s="55" t="str">
        <f>IF(ISERROR(FIND('112'!$M$9,G1102,1)),"",IF((AND(RIGHT(G1102,2)=RIGHT('112'!$M$9,2),B1102&lt;'112'!$N$8,$M1102='112'!$I$6)),"x",""))</f>
        <v/>
      </c>
      <c r="U1102" s="55" t="str">
        <f>IF(AND('3411-CT'!$F$9=H1102,OR(LEFT(L1102,3)=$U$7,LEFT(M1102,3)=$U$7)),"x","")</f>
        <v/>
      </c>
      <c r="V1102" s="55" t="str">
        <f>IF(OR(TH!L1102=TH!$V$7,M1102=TH!$V$7),"x","")</f>
        <v/>
      </c>
      <c r="W1102" s="55" t="str">
        <f>IF(AND(OR(L1102="131",M1102="131"),H1102='131-CT'!$E$7),"x","")</f>
        <v/>
      </c>
      <c r="X1102" s="55" t="str">
        <f>IF(AND(B1102&gt;='IN-NX'!$P$3,B1102&lt;='IN-NX'!$Q$3,'IN-NX'!$D$7=D1102,OR(LEFT(TH!L1102,2)="15",LEFT(TH!M1102,2)="15")),"x","")</f>
        <v/>
      </c>
      <c r="Y1102" s="55" t="str">
        <f>IF(AND(OR(LEFT(TH!L1102,2)="15",LEFT(TH!M1102,2)="15"),'152-CT'!$J$8=TH!F1102),"x","")</f>
        <v/>
      </c>
      <c r="Z1102" s="55" t="str">
        <f>IF(AND(OR(LEFT(TH!L1102,2)="15",LEFT(TH!M1102,2)="15"),TK!$E$7=TH!F1102),"x","")</f>
        <v/>
      </c>
      <c r="AA1102" s="55" t="str">
        <f>IF(AND(B1102&lt;=NKC!$N$8,B1102&gt;=NKC!$M$8),"x","")</f>
        <v>x</v>
      </c>
      <c r="AC1102" s="226"/>
    </row>
    <row r="1103" spans="1:29" ht="15.75" customHeight="1">
      <c r="A1103" s="219" t="str">
        <f>IF(B1103&lt;&gt;"",IF(AND(B1103&gt;=_TM1,B1103&lt;=_TM2,OR(TH!L1103="1111",TH!M1103="1111")),TH!D1103,""),"")</f>
        <v/>
      </c>
      <c r="B1103" s="36">
        <f t="shared" si="48"/>
        <v>5</v>
      </c>
      <c r="C1103" s="205">
        <f t="shared" si="47"/>
        <v>41037</v>
      </c>
      <c r="D1103" s="205"/>
      <c r="E1103" s="205">
        <v>41037</v>
      </c>
      <c r="F1103" s="206" t="s">
        <v>1306</v>
      </c>
      <c r="G1103" s="581" t="s">
        <v>1307</v>
      </c>
      <c r="H1103" s="207" t="s">
        <v>1308</v>
      </c>
      <c r="I1103" s="277">
        <v>795</v>
      </c>
      <c r="J1103" s="277">
        <v>6150</v>
      </c>
      <c r="K1103" s="698">
        <f t="shared" si="46"/>
        <v>4889250</v>
      </c>
      <c r="L1103" s="208" t="s">
        <v>49</v>
      </c>
      <c r="M1103" s="208" t="s">
        <v>208</v>
      </c>
      <c r="N1103" s="55" t="str">
        <f>IF(AND('331-CT'!$E$7=TH!H1103,OR(L1103="331",M1103="331")),"x","")</f>
        <v/>
      </c>
      <c r="O1103" s="55" t="str">
        <f>IF(AND($B1103&gt;='111'!$N$11,$B1103&lt;='111'!$O$11,OR($L1103=$O$7,$M1103=$O$7)),"x","")</f>
        <v/>
      </c>
      <c r="P1103" s="55" t="str">
        <f>IF(AND($L1103=$O$7,$B1103&lt;'111'!$N$11),"x","")</f>
        <v>x</v>
      </c>
      <c r="Q1103" s="55" t="str">
        <f>IF(AND($M1103=$O$7,$B1103&lt;'111'!$N$11),"x","")</f>
        <v/>
      </c>
      <c r="R1103" s="55" t="str">
        <f>IF(ISERROR(FIND('112'!$M$9,G1103,1)),"",IF((AND(FIND('112'!$M$9,G1103,1)&gt;=1,$B1103&gt;='112'!$N$8,$B1103&lt;='112'!$O$8,OR($L1103='112'!$I$6,$M1103='112'!$I$6))),"x",""))</f>
        <v/>
      </c>
      <c r="S1103" s="55" t="str">
        <f>IF(ISERROR(FIND('112'!$M$9,G1103,1)),"",IF((AND(LEFT(G1103,2)=LEFT('112'!$M$9,2),B1103&lt;'112'!$N$8,$L1103='112'!$I$6)),"x",""))</f>
        <v/>
      </c>
      <c r="T1103" s="55" t="str">
        <f>IF(ISERROR(FIND('112'!$M$9,G1103,1)),"",IF((AND(RIGHT(G1103,2)=RIGHT('112'!$M$9,2),B1103&lt;'112'!$N$8,$M1103='112'!$I$6)),"x",""))</f>
        <v/>
      </c>
      <c r="U1103" s="55" t="str">
        <f>IF(AND('3411-CT'!$F$9=H1103,OR(LEFT(L1103,3)=$U$7,LEFT(M1103,3)=$U$7)),"x","")</f>
        <v/>
      </c>
      <c r="V1103" s="55" t="str">
        <f>IF(OR(TH!L1103=TH!$V$7,M1103=TH!$V$7),"x","")</f>
        <v/>
      </c>
      <c r="W1103" s="55" t="str">
        <f>IF(AND(OR(L1103="131",M1103="131"),H1103='131-CT'!$E$7),"x","")</f>
        <v/>
      </c>
      <c r="X1103" s="55" t="str">
        <f>IF(AND(B1103&gt;='IN-NX'!$P$3,B1103&lt;='IN-NX'!$Q$3,'IN-NX'!$D$7=D1103,OR(LEFT(TH!L1103,2)="15",LEFT(TH!M1103,2)="15")),"x","")</f>
        <v/>
      </c>
      <c r="Y1103" s="55" t="str">
        <f>IF(AND(OR(LEFT(TH!L1103,2)="15",LEFT(TH!M1103,2)="15"),'152-CT'!$J$8=TH!F1103),"x","")</f>
        <v/>
      </c>
      <c r="Z1103" s="55" t="str">
        <f>IF(AND(OR(LEFT(TH!L1103,2)="15",LEFT(TH!M1103,2)="15"),TK!$E$7=TH!F1103),"x","")</f>
        <v/>
      </c>
      <c r="AA1103" s="55" t="str">
        <f>IF(AND(B1103&lt;=NKC!$N$8,B1103&gt;=NKC!$M$8),"x","")</f>
        <v>x</v>
      </c>
    </row>
    <row r="1104" spans="1:29" ht="15.75" customHeight="1">
      <c r="A1104" s="219" t="str">
        <f>IF(B1104&lt;&gt;"",IF(AND(B1104&gt;=_TM1,B1104&lt;=_TM2,OR(TH!L1104="1111",TH!M1104="1111")),TH!D1104,""),"")</f>
        <v/>
      </c>
      <c r="B1104" s="36">
        <f t="shared" si="48"/>
        <v>5</v>
      </c>
      <c r="C1104" s="205">
        <f t="shared" si="47"/>
        <v>41037</v>
      </c>
      <c r="D1104" s="205"/>
      <c r="E1104" s="205">
        <v>41037</v>
      </c>
      <c r="F1104" s="206" t="s">
        <v>1185</v>
      </c>
      <c r="G1104" s="581" t="s">
        <v>1307</v>
      </c>
      <c r="H1104" s="207" t="s">
        <v>1308</v>
      </c>
      <c r="I1104" s="277"/>
      <c r="J1104" s="277"/>
      <c r="K1104" s="698">
        <v>488925</v>
      </c>
      <c r="L1104" s="208" t="s">
        <v>49</v>
      </c>
      <c r="M1104" s="208" t="s">
        <v>549</v>
      </c>
      <c r="N1104" s="55" t="str">
        <f>IF(AND('331-CT'!$E$7=TH!H1104,OR(L1104="331",M1104="331")),"x","")</f>
        <v/>
      </c>
      <c r="O1104" s="55" t="str">
        <f>IF(AND($B1104&gt;='111'!$N$11,$B1104&lt;='111'!$O$11,OR($L1104=$O$7,$M1104=$O$7)),"x","")</f>
        <v/>
      </c>
      <c r="P1104" s="55" t="str">
        <f>IF(AND($L1104=$O$7,$B1104&lt;'111'!$N$11),"x","")</f>
        <v>x</v>
      </c>
      <c r="Q1104" s="55" t="str">
        <f>IF(AND($M1104=$O$7,$B1104&lt;'111'!$N$11),"x","")</f>
        <v/>
      </c>
      <c r="R1104" s="55" t="str">
        <f>IF(ISERROR(FIND('112'!$M$9,G1104,1)),"",IF((AND(FIND('112'!$M$9,G1104,1)&gt;=1,$B1104&gt;='112'!$N$8,$B1104&lt;='112'!$O$8,OR($L1104='112'!$I$6,$M1104='112'!$I$6))),"x",""))</f>
        <v/>
      </c>
      <c r="S1104" s="55" t="str">
        <f>IF(ISERROR(FIND('112'!$M$9,G1104,1)),"",IF((AND(LEFT(G1104,2)=LEFT('112'!$M$9,2),B1104&lt;'112'!$N$8,$L1104='112'!$I$6)),"x",""))</f>
        <v/>
      </c>
      <c r="T1104" s="55" t="str">
        <f>IF(ISERROR(FIND('112'!$M$9,G1104,1)),"",IF((AND(RIGHT(G1104,2)=RIGHT('112'!$M$9,2),B1104&lt;'112'!$N$8,$M1104='112'!$I$6)),"x",""))</f>
        <v/>
      </c>
      <c r="U1104" s="55" t="str">
        <f>IF(AND('3411-CT'!$F$9=H1104,OR(LEFT(L1104,3)=$U$7,LEFT(M1104,3)=$U$7)),"x","")</f>
        <v/>
      </c>
      <c r="V1104" s="55" t="str">
        <f>IF(OR(TH!L1104=TH!$V$7,M1104=TH!$V$7),"x","")</f>
        <v/>
      </c>
      <c r="W1104" s="55" t="str">
        <f>IF(AND(OR(L1104="131",M1104="131"),H1104='131-CT'!$E$7),"x","")</f>
        <v/>
      </c>
      <c r="X1104" s="55" t="str">
        <f>IF(AND(B1104&gt;='IN-NX'!$P$3,B1104&lt;='IN-NX'!$Q$3,'IN-NX'!$D$7=D1104,OR(LEFT(TH!L1104,2)="15",LEFT(TH!M1104,2)="15")),"x","")</f>
        <v/>
      </c>
      <c r="Y1104" s="55" t="str">
        <f>IF(AND(OR(LEFT(TH!L1104,2)="15",LEFT(TH!M1104,2)="15"),'152-CT'!$J$8=TH!F1104),"x","")</f>
        <v/>
      </c>
      <c r="Z1104" s="55" t="str">
        <f>IF(AND(OR(LEFT(TH!L1104,2)="15",LEFT(TH!M1104,2)="15"),TK!$E$7=TH!F1104),"x","")</f>
        <v/>
      </c>
      <c r="AA1104" s="55" t="str">
        <f>IF(AND(B1104&lt;=NKC!$N$8,B1104&gt;=NKC!$M$8),"x","")</f>
        <v>x</v>
      </c>
      <c r="AC1104" s="226"/>
    </row>
    <row r="1105" spans="1:29" ht="15.75" customHeight="1">
      <c r="A1105" s="219" t="str">
        <f>IF(B1105&lt;&gt;"",IF(AND(B1105&gt;=_TM1,B1105&lt;=_TM2,OR(TH!L1105="1111",TH!M1105="1111")),TH!D1105,""),"")</f>
        <v/>
      </c>
      <c r="B1105" s="36">
        <f t="shared" si="48"/>
        <v>5</v>
      </c>
      <c r="C1105" s="205">
        <f t="shared" si="47"/>
        <v>41039</v>
      </c>
      <c r="D1105" s="205"/>
      <c r="E1105" s="205">
        <v>41039</v>
      </c>
      <c r="F1105" s="206" t="s">
        <v>1309</v>
      </c>
      <c r="G1105" s="581" t="s">
        <v>1310</v>
      </c>
      <c r="H1105" s="207" t="s">
        <v>1256</v>
      </c>
      <c r="I1105" s="277">
        <v>300</v>
      </c>
      <c r="J1105" s="277">
        <v>6530</v>
      </c>
      <c r="K1105" s="698">
        <f t="shared" si="46"/>
        <v>1959000</v>
      </c>
      <c r="L1105" s="208" t="s">
        <v>49</v>
      </c>
      <c r="M1105" s="208" t="s">
        <v>208</v>
      </c>
      <c r="N1105" s="55" t="str">
        <f>IF(AND('331-CT'!$E$7=TH!H1105,OR(L1105="331",M1105="331")),"x","")</f>
        <v/>
      </c>
      <c r="O1105" s="55" t="str">
        <f>IF(AND($B1105&gt;='111'!$N$11,$B1105&lt;='111'!$O$11,OR($L1105=$O$7,$M1105=$O$7)),"x","")</f>
        <v/>
      </c>
      <c r="P1105" s="55" t="str">
        <f>IF(AND($L1105=$O$7,$B1105&lt;'111'!$N$11),"x","")</f>
        <v>x</v>
      </c>
      <c r="Q1105" s="55" t="str">
        <f>IF(AND($M1105=$O$7,$B1105&lt;'111'!$N$11),"x","")</f>
        <v/>
      </c>
      <c r="R1105" s="55" t="str">
        <f>IF(ISERROR(FIND('112'!$M$9,G1105,1)),"",IF((AND(FIND('112'!$M$9,G1105,1)&gt;=1,$B1105&gt;='112'!$N$8,$B1105&lt;='112'!$O$8,OR($L1105='112'!$I$6,$M1105='112'!$I$6))),"x",""))</f>
        <v/>
      </c>
      <c r="S1105" s="55" t="str">
        <f>IF(ISERROR(FIND('112'!$M$9,G1105,1)),"",IF((AND(LEFT(G1105,2)=LEFT('112'!$M$9,2),B1105&lt;'112'!$N$8,$L1105='112'!$I$6)),"x",""))</f>
        <v/>
      </c>
      <c r="T1105" s="55" t="str">
        <f>IF(ISERROR(FIND('112'!$M$9,G1105,1)),"",IF((AND(RIGHT(G1105,2)=RIGHT('112'!$M$9,2),B1105&lt;'112'!$N$8,$M1105='112'!$I$6)),"x",""))</f>
        <v/>
      </c>
      <c r="U1105" s="55" t="str">
        <f>IF(AND('3411-CT'!$F$9=H1105,OR(LEFT(L1105,3)=$U$7,LEFT(M1105,3)=$U$7)),"x","")</f>
        <v/>
      </c>
      <c r="V1105" s="55" t="str">
        <f>IF(OR(TH!L1105=TH!$V$7,M1105=TH!$V$7),"x","")</f>
        <v/>
      </c>
      <c r="W1105" s="55" t="str">
        <f>IF(AND(OR(L1105="131",M1105="131"),H1105='131-CT'!$E$7),"x","")</f>
        <v/>
      </c>
      <c r="X1105" s="55" t="str">
        <f>IF(AND(B1105&gt;='IN-NX'!$P$3,B1105&lt;='IN-NX'!$Q$3,'IN-NX'!$D$7=D1105,OR(LEFT(TH!L1105,2)="15",LEFT(TH!M1105,2)="15")),"x","")</f>
        <v/>
      </c>
      <c r="Y1105" s="55" t="str">
        <f>IF(AND(OR(LEFT(TH!L1105,2)="15",LEFT(TH!M1105,2)="15"),'152-CT'!$J$8=TH!F1105),"x","")</f>
        <v/>
      </c>
      <c r="Z1105" s="55" t="str">
        <f>IF(AND(OR(LEFT(TH!L1105,2)="15",LEFT(TH!M1105,2)="15"),TK!$E$7=TH!F1105),"x","")</f>
        <v/>
      </c>
      <c r="AA1105" s="55" t="str">
        <f>IF(AND(B1105&lt;=NKC!$N$8,B1105&gt;=NKC!$M$8),"x","")</f>
        <v>x</v>
      </c>
    </row>
    <row r="1106" spans="1:29" ht="15.75" customHeight="1">
      <c r="A1106" s="219" t="str">
        <f>IF(B1106&lt;&gt;"",IF(AND(B1106&gt;=_TM1,B1106&lt;=_TM2,OR(TH!L1106="1111",TH!M1106="1111")),TH!D1106,""),"")</f>
        <v/>
      </c>
      <c r="B1106" s="36">
        <f t="shared" si="48"/>
        <v>5</v>
      </c>
      <c r="C1106" s="205">
        <f t="shared" si="47"/>
        <v>41039</v>
      </c>
      <c r="D1106" s="205"/>
      <c r="E1106" s="205">
        <v>41039</v>
      </c>
      <c r="F1106" s="206" t="s">
        <v>1185</v>
      </c>
      <c r="G1106" s="581" t="s">
        <v>1310</v>
      </c>
      <c r="H1106" s="207" t="s">
        <v>1256</v>
      </c>
      <c r="I1106" s="277"/>
      <c r="J1106" s="277"/>
      <c r="K1106" s="698">
        <v>195900</v>
      </c>
      <c r="L1106" s="208" t="s">
        <v>49</v>
      </c>
      <c r="M1106" s="208" t="s">
        <v>549</v>
      </c>
      <c r="N1106" s="55" t="str">
        <f>IF(AND('331-CT'!$E$7=TH!H1106,OR(L1106="331",M1106="331")),"x","")</f>
        <v/>
      </c>
      <c r="O1106" s="55" t="str">
        <f>IF(AND($B1106&gt;='111'!$N$11,$B1106&lt;='111'!$O$11,OR($L1106=$O$7,$M1106=$O$7)),"x","")</f>
        <v/>
      </c>
      <c r="P1106" s="55" t="str">
        <f>IF(AND($L1106=$O$7,$B1106&lt;'111'!$N$11),"x","")</f>
        <v>x</v>
      </c>
      <c r="Q1106" s="55" t="str">
        <f>IF(AND($M1106=$O$7,$B1106&lt;'111'!$N$11),"x","")</f>
        <v/>
      </c>
      <c r="R1106" s="55" t="str">
        <f>IF(ISERROR(FIND('112'!$M$9,G1106,1)),"",IF((AND(FIND('112'!$M$9,G1106,1)&gt;=1,$B1106&gt;='112'!$N$8,$B1106&lt;='112'!$O$8,OR($L1106='112'!$I$6,$M1106='112'!$I$6))),"x",""))</f>
        <v/>
      </c>
      <c r="S1106" s="55" t="str">
        <f>IF(ISERROR(FIND('112'!$M$9,G1106,1)),"",IF((AND(LEFT(G1106,2)=LEFT('112'!$M$9,2),B1106&lt;'112'!$N$8,$L1106='112'!$I$6)),"x",""))</f>
        <v/>
      </c>
      <c r="T1106" s="55" t="str">
        <f>IF(ISERROR(FIND('112'!$M$9,G1106,1)),"",IF((AND(RIGHT(G1106,2)=RIGHT('112'!$M$9,2),B1106&lt;'112'!$N$8,$M1106='112'!$I$6)),"x",""))</f>
        <v/>
      </c>
      <c r="U1106" s="55" t="str">
        <f>IF(AND('3411-CT'!$F$9=H1106,OR(LEFT(L1106,3)=$U$7,LEFT(M1106,3)=$U$7)),"x","")</f>
        <v/>
      </c>
      <c r="V1106" s="55" t="str">
        <f>IF(OR(TH!L1106=TH!$V$7,M1106=TH!$V$7),"x","")</f>
        <v/>
      </c>
      <c r="W1106" s="55" t="str">
        <f>IF(AND(OR(L1106="131",M1106="131"),H1106='131-CT'!$E$7),"x","")</f>
        <v/>
      </c>
      <c r="X1106" s="55" t="str">
        <f>IF(AND(B1106&gt;='IN-NX'!$P$3,B1106&lt;='IN-NX'!$Q$3,'IN-NX'!$D$7=D1106,OR(LEFT(TH!L1106,2)="15",LEFT(TH!M1106,2)="15")),"x","")</f>
        <v/>
      </c>
      <c r="Y1106" s="55" t="str">
        <f>IF(AND(OR(LEFT(TH!L1106,2)="15",LEFT(TH!M1106,2)="15"),'152-CT'!$J$8=TH!F1106),"x","")</f>
        <v/>
      </c>
      <c r="Z1106" s="55" t="str">
        <f>IF(AND(OR(LEFT(TH!L1106,2)="15",LEFT(TH!M1106,2)="15"),TK!$E$7=TH!F1106),"x","")</f>
        <v/>
      </c>
      <c r="AA1106" s="55" t="str">
        <f>IF(AND(B1106&lt;=NKC!$N$8,B1106&gt;=NKC!$M$8),"x","")</f>
        <v>x</v>
      </c>
      <c r="AC1106" s="226"/>
    </row>
    <row r="1107" spans="1:29" ht="15.75" customHeight="1">
      <c r="A1107" s="219" t="str">
        <f>IF(B1107&lt;&gt;"",IF(AND(B1107&gt;=_TM1,B1107&lt;=_TM2,OR(TH!L1107="1111",TH!M1107="1111")),TH!D1107,""),"")</f>
        <v/>
      </c>
      <c r="B1107" s="36">
        <f t="shared" si="48"/>
        <v>5</v>
      </c>
      <c r="C1107" s="205">
        <f t="shared" si="47"/>
        <v>41041</v>
      </c>
      <c r="D1107" s="205"/>
      <c r="E1107" s="205">
        <v>41041</v>
      </c>
      <c r="F1107" s="206" t="s">
        <v>1311</v>
      </c>
      <c r="G1107" s="581" t="s">
        <v>1312</v>
      </c>
      <c r="H1107" s="207" t="s">
        <v>1313</v>
      </c>
      <c r="I1107" s="277">
        <v>1025</v>
      </c>
      <c r="J1107" s="277">
        <v>6800</v>
      </c>
      <c r="K1107" s="698">
        <f t="shared" si="46"/>
        <v>6970000</v>
      </c>
      <c r="L1107" s="208" t="s">
        <v>49</v>
      </c>
      <c r="M1107" s="208" t="s">
        <v>208</v>
      </c>
      <c r="N1107" s="55" t="str">
        <f>IF(AND('331-CT'!$E$7=TH!H1107,OR(L1107="331",M1107="331")),"x","")</f>
        <v/>
      </c>
      <c r="O1107" s="55" t="str">
        <f>IF(AND($B1107&gt;='111'!$N$11,$B1107&lt;='111'!$O$11,OR($L1107=$O$7,$M1107=$O$7)),"x","")</f>
        <v/>
      </c>
      <c r="P1107" s="55" t="str">
        <f>IF(AND($L1107=$O$7,$B1107&lt;'111'!$N$11),"x","")</f>
        <v>x</v>
      </c>
      <c r="Q1107" s="55" t="str">
        <f>IF(AND($M1107=$O$7,$B1107&lt;'111'!$N$11),"x","")</f>
        <v/>
      </c>
      <c r="R1107" s="55" t="str">
        <f>IF(ISERROR(FIND('112'!$M$9,G1107,1)),"",IF((AND(FIND('112'!$M$9,G1107,1)&gt;=1,$B1107&gt;='112'!$N$8,$B1107&lt;='112'!$O$8,OR($L1107='112'!$I$6,$M1107='112'!$I$6))),"x",""))</f>
        <v/>
      </c>
      <c r="S1107" s="55" t="str">
        <f>IF(ISERROR(FIND('112'!$M$9,G1107,1)),"",IF((AND(LEFT(G1107,2)=LEFT('112'!$M$9,2),B1107&lt;'112'!$N$8,$L1107='112'!$I$6)),"x",""))</f>
        <v/>
      </c>
      <c r="T1107" s="55" t="str">
        <f>IF(ISERROR(FIND('112'!$M$9,G1107,1)),"",IF((AND(RIGHT(G1107,2)=RIGHT('112'!$M$9,2),B1107&lt;'112'!$N$8,$M1107='112'!$I$6)),"x",""))</f>
        <v/>
      </c>
      <c r="U1107" s="55" t="str">
        <f>IF(AND('3411-CT'!$F$9=H1107,OR(LEFT(L1107,3)=$U$7,LEFT(M1107,3)=$U$7)),"x","")</f>
        <v/>
      </c>
      <c r="V1107" s="55" t="str">
        <f>IF(OR(TH!L1107=TH!$V$7,M1107=TH!$V$7),"x","")</f>
        <v/>
      </c>
      <c r="W1107" s="55" t="str">
        <f>IF(AND(OR(L1107="131",M1107="131"),H1107='131-CT'!$E$7),"x","")</f>
        <v/>
      </c>
      <c r="X1107" s="55" t="str">
        <f>IF(AND(B1107&gt;='IN-NX'!$P$3,B1107&lt;='IN-NX'!$Q$3,'IN-NX'!$D$7=D1107,OR(LEFT(TH!L1107,2)="15",LEFT(TH!M1107,2)="15")),"x","")</f>
        <v/>
      </c>
      <c r="Y1107" s="55" t="str">
        <f>IF(AND(OR(LEFT(TH!L1107,2)="15",LEFT(TH!M1107,2)="15"),'152-CT'!$J$8=TH!F1107),"x","")</f>
        <v/>
      </c>
      <c r="Z1107" s="55" t="str">
        <f>IF(AND(OR(LEFT(TH!L1107,2)="15",LEFT(TH!M1107,2)="15"),TK!$E$7=TH!F1107),"x","")</f>
        <v/>
      </c>
      <c r="AA1107" s="55" t="str">
        <f>IF(AND(B1107&lt;=NKC!$N$8,B1107&gt;=NKC!$M$8),"x","")</f>
        <v>x</v>
      </c>
    </row>
    <row r="1108" spans="1:29" ht="15.75" customHeight="1">
      <c r="A1108" s="219" t="str">
        <f>IF(B1108&lt;&gt;"",IF(AND(B1108&gt;=_TM1,B1108&lt;=_TM2,OR(TH!L1108="1111",TH!M1108="1111")),TH!D1108,""),"")</f>
        <v/>
      </c>
      <c r="B1108" s="36">
        <f t="shared" si="48"/>
        <v>5</v>
      </c>
      <c r="C1108" s="205">
        <f t="shared" si="47"/>
        <v>41041</v>
      </c>
      <c r="D1108" s="205"/>
      <c r="E1108" s="205">
        <v>41041</v>
      </c>
      <c r="F1108" s="206" t="s">
        <v>1185</v>
      </c>
      <c r="G1108" s="581" t="s">
        <v>1312</v>
      </c>
      <c r="H1108" s="207" t="s">
        <v>1313</v>
      </c>
      <c r="I1108" s="277"/>
      <c r="J1108" s="277"/>
      <c r="K1108" s="698">
        <v>697000</v>
      </c>
      <c r="L1108" s="208" t="s">
        <v>49</v>
      </c>
      <c r="M1108" s="208" t="s">
        <v>549</v>
      </c>
      <c r="N1108" s="55" t="str">
        <f>IF(AND('331-CT'!$E$7=TH!H1108,OR(L1108="331",M1108="331")),"x","")</f>
        <v/>
      </c>
      <c r="O1108" s="55" t="str">
        <f>IF(AND($B1108&gt;='111'!$N$11,$B1108&lt;='111'!$O$11,OR($L1108=$O$7,$M1108=$O$7)),"x","")</f>
        <v/>
      </c>
      <c r="P1108" s="55" t="str">
        <f>IF(AND($L1108=$O$7,$B1108&lt;'111'!$N$11),"x","")</f>
        <v>x</v>
      </c>
      <c r="Q1108" s="55" t="str">
        <f>IF(AND($M1108=$O$7,$B1108&lt;'111'!$N$11),"x","")</f>
        <v/>
      </c>
      <c r="R1108" s="55" t="str">
        <f>IF(ISERROR(FIND('112'!$M$9,G1108,1)),"",IF((AND(FIND('112'!$M$9,G1108,1)&gt;=1,$B1108&gt;='112'!$N$8,$B1108&lt;='112'!$O$8,OR($L1108='112'!$I$6,$M1108='112'!$I$6))),"x",""))</f>
        <v/>
      </c>
      <c r="S1108" s="55" t="str">
        <f>IF(ISERROR(FIND('112'!$M$9,G1108,1)),"",IF((AND(LEFT(G1108,2)=LEFT('112'!$M$9,2),B1108&lt;'112'!$N$8,$L1108='112'!$I$6)),"x",""))</f>
        <v/>
      </c>
      <c r="T1108" s="55" t="str">
        <f>IF(ISERROR(FIND('112'!$M$9,G1108,1)),"",IF((AND(RIGHT(G1108,2)=RIGHT('112'!$M$9,2),B1108&lt;'112'!$N$8,$M1108='112'!$I$6)),"x",""))</f>
        <v/>
      </c>
      <c r="U1108" s="55" t="str">
        <f>IF(AND('3411-CT'!$F$9=H1108,OR(LEFT(L1108,3)=$U$7,LEFT(M1108,3)=$U$7)),"x","")</f>
        <v/>
      </c>
      <c r="V1108" s="55" t="str">
        <f>IF(OR(TH!L1108=TH!$V$7,M1108=TH!$V$7),"x","")</f>
        <v/>
      </c>
      <c r="W1108" s="55" t="str">
        <f>IF(AND(OR(L1108="131",M1108="131"),H1108='131-CT'!$E$7),"x","")</f>
        <v/>
      </c>
      <c r="X1108" s="55" t="str">
        <f>IF(AND(B1108&gt;='IN-NX'!$P$3,B1108&lt;='IN-NX'!$Q$3,'IN-NX'!$D$7=D1108,OR(LEFT(TH!L1108,2)="15",LEFT(TH!M1108,2)="15")),"x","")</f>
        <v/>
      </c>
      <c r="Y1108" s="55" t="str">
        <f>IF(AND(OR(LEFT(TH!L1108,2)="15",LEFT(TH!M1108,2)="15"),'152-CT'!$J$8=TH!F1108),"x","")</f>
        <v/>
      </c>
      <c r="Z1108" s="55" t="str">
        <f>IF(AND(OR(LEFT(TH!L1108,2)="15",LEFT(TH!M1108,2)="15"),TK!$E$7=TH!F1108),"x","")</f>
        <v/>
      </c>
      <c r="AA1108" s="55" t="str">
        <f>IF(AND(B1108&lt;=NKC!$N$8,B1108&gt;=NKC!$M$8),"x","")</f>
        <v>x</v>
      </c>
      <c r="AC1108" s="226"/>
    </row>
    <row r="1109" spans="1:29" ht="15.75" customHeight="1">
      <c r="A1109" s="219" t="str">
        <f>IF(B1109&lt;&gt;"",IF(AND(B1109&gt;=_TM1,B1109&lt;=_TM2,OR(TH!L1109="1111",TH!M1109="1111")),TH!D1109,""),"")</f>
        <v/>
      </c>
      <c r="B1109" s="36">
        <f t="shared" si="48"/>
        <v>5</v>
      </c>
      <c r="C1109" s="205">
        <f t="shared" si="47"/>
        <v>41041</v>
      </c>
      <c r="D1109" s="205"/>
      <c r="E1109" s="205">
        <v>41041</v>
      </c>
      <c r="F1109" s="206" t="s">
        <v>1300</v>
      </c>
      <c r="G1109" s="581" t="s">
        <v>1314</v>
      </c>
      <c r="H1109" s="7" t="s">
        <v>416</v>
      </c>
      <c r="I1109" s="277">
        <v>27</v>
      </c>
      <c r="J1109" s="277">
        <v>9880</v>
      </c>
      <c r="K1109" s="698">
        <f t="shared" ref="K1109:K1171" si="49">ROUND(I1109*J1109,0)</f>
        <v>266760</v>
      </c>
      <c r="L1109" s="208" t="s">
        <v>311</v>
      </c>
      <c r="M1109" s="208" t="s">
        <v>208</v>
      </c>
      <c r="N1109" s="55" t="str">
        <f>IF(AND('331-CT'!$E$7=TH!H1109,OR(L1109="331",M1109="331")),"x","")</f>
        <v/>
      </c>
      <c r="O1109" s="55" t="str">
        <f>IF(AND($B1109&gt;='111'!$N$11,$B1109&lt;='111'!$O$11,OR($L1109=$O$7,$M1109=$O$7)),"x","")</f>
        <v/>
      </c>
      <c r="P1109" s="55" t="str">
        <f>IF(AND($L1109=$O$7,$B1109&lt;'111'!$N$11),"x","")</f>
        <v/>
      </c>
      <c r="Q1109" s="55" t="str">
        <f>IF(AND($M1109=$O$7,$B1109&lt;'111'!$N$11),"x","")</f>
        <v/>
      </c>
      <c r="R1109" s="55" t="str">
        <f>IF(ISERROR(FIND('112'!$M$9,G1109,1)),"",IF((AND(FIND('112'!$M$9,G1109,1)&gt;=1,$B1109&gt;='112'!$N$8,$B1109&lt;='112'!$O$8,OR($L1109='112'!$I$6,$M1109='112'!$I$6))),"x",""))</f>
        <v/>
      </c>
      <c r="S1109" s="55" t="str">
        <f>IF(ISERROR(FIND('112'!$M$9,G1109,1)),"",IF((AND(LEFT(G1109,2)=LEFT('112'!$M$9,2),B1109&lt;'112'!$N$8,$L1109='112'!$I$6)),"x",""))</f>
        <v/>
      </c>
      <c r="T1109" s="55" t="str">
        <f>IF(ISERROR(FIND('112'!$M$9,G1109,1)),"",IF((AND(RIGHT(G1109,2)=RIGHT('112'!$M$9,2),B1109&lt;'112'!$N$8,$M1109='112'!$I$6)),"x",""))</f>
        <v/>
      </c>
      <c r="U1109" s="55" t="str">
        <f>IF(AND('3411-CT'!$F$9=H1109,OR(LEFT(L1109,3)=$U$7,LEFT(M1109,3)=$U$7)),"x","")</f>
        <v/>
      </c>
      <c r="V1109" s="55" t="str">
        <f>IF(OR(TH!L1109=TH!$V$7,M1109=TH!$V$7),"x","")</f>
        <v/>
      </c>
      <c r="W1109" s="55" t="str">
        <f>IF(AND(OR(L1109="131",M1109="131"),H1109='131-CT'!$E$7),"x","")</f>
        <v/>
      </c>
      <c r="X1109" s="55" t="str">
        <f>IF(AND(B1109&gt;='IN-NX'!$P$3,B1109&lt;='IN-NX'!$Q$3,'IN-NX'!$D$7=D1109,OR(LEFT(TH!L1109,2)="15",LEFT(TH!M1109,2)="15")),"x","")</f>
        <v/>
      </c>
      <c r="Y1109" s="55" t="str">
        <f>IF(AND(OR(LEFT(TH!L1109,2)="15",LEFT(TH!M1109,2)="15"),'152-CT'!$J$8=TH!F1109),"x","")</f>
        <v/>
      </c>
      <c r="Z1109" s="55" t="str">
        <f>IF(AND(OR(LEFT(TH!L1109,2)="15",LEFT(TH!M1109,2)="15"),TK!$E$7=TH!F1109),"x","")</f>
        <v/>
      </c>
      <c r="AA1109" s="55" t="str">
        <f>IF(AND(B1109&lt;=NKC!$N$8,B1109&gt;=NKC!$M$8),"x","")</f>
        <v>x</v>
      </c>
    </row>
    <row r="1110" spans="1:29" ht="15.75" customHeight="1">
      <c r="A1110" s="219" t="str">
        <f>IF(B1110&lt;&gt;"",IF(AND(B1110&gt;=_TM1,B1110&lt;=_TM2,OR(TH!L1110="1111",TH!M1110="1111")),TH!D1110,""),"")</f>
        <v/>
      </c>
      <c r="B1110" s="36">
        <f t="shared" si="48"/>
        <v>5</v>
      </c>
      <c r="C1110" s="205">
        <f t="shared" si="47"/>
        <v>41041</v>
      </c>
      <c r="D1110" s="205"/>
      <c r="E1110" s="205">
        <v>41041</v>
      </c>
      <c r="F1110" s="206" t="s">
        <v>1315</v>
      </c>
      <c r="G1110" s="581" t="s">
        <v>1314</v>
      </c>
      <c r="H1110" s="7" t="s">
        <v>416</v>
      </c>
      <c r="I1110" s="277">
        <v>1350</v>
      </c>
      <c r="J1110" s="277">
        <v>5600</v>
      </c>
      <c r="K1110" s="698">
        <f t="shared" si="49"/>
        <v>7560000</v>
      </c>
      <c r="L1110" s="208" t="s">
        <v>311</v>
      </c>
      <c r="M1110" s="208" t="s">
        <v>208</v>
      </c>
      <c r="N1110" s="55" t="str">
        <f>IF(AND('331-CT'!$E$7=TH!H1110,OR(L1110="331",M1110="331")),"x","")</f>
        <v/>
      </c>
      <c r="O1110" s="55" t="str">
        <f>IF(AND($B1110&gt;='111'!$N$11,$B1110&lt;='111'!$O$11,OR($L1110=$O$7,$M1110=$O$7)),"x","")</f>
        <v/>
      </c>
      <c r="P1110" s="55" t="str">
        <f>IF(AND($L1110=$O$7,$B1110&lt;'111'!$N$11),"x","")</f>
        <v/>
      </c>
      <c r="Q1110" s="55" t="str">
        <f>IF(AND($M1110=$O$7,$B1110&lt;'111'!$N$11),"x","")</f>
        <v/>
      </c>
      <c r="R1110" s="55" t="str">
        <f>IF(ISERROR(FIND('112'!$M$9,G1110,1)),"",IF((AND(FIND('112'!$M$9,G1110,1)&gt;=1,$B1110&gt;='112'!$N$8,$B1110&lt;='112'!$O$8,OR($L1110='112'!$I$6,$M1110='112'!$I$6))),"x",""))</f>
        <v/>
      </c>
      <c r="S1110" s="55" t="str">
        <f>IF(ISERROR(FIND('112'!$M$9,G1110,1)),"",IF((AND(LEFT(G1110,2)=LEFT('112'!$M$9,2),B1110&lt;'112'!$N$8,$L1110='112'!$I$6)),"x",""))</f>
        <v/>
      </c>
      <c r="T1110" s="55" t="str">
        <f>IF(ISERROR(FIND('112'!$M$9,G1110,1)),"",IF((AND(RIGHT(G1110,2)=RIGHT('112'!$M$9,2),B1110&lt;'112'!$N$8,$M1110='112'!$I$6)),"x",""))</f>
        <v/>
      </c>
      <c r="U1110" s="55" t="str">
        <f>IF(AND('3411-CT'!$F$9=H1110,OR(LEFT(L1110,3)=$U$7,LEFT(M1110,3)=$U$7)),"x","")</f>
        <v/>
      </c>
      <c r="V1110" s="55" t="str">
        <f>IF(OR(TH!L1110=TH!$V$7,M1110=TH!$V$7),"x","")</f>
        <v/>
      </c>
      <c r="W1110" s="55" t="str">
        <f>IF(AND(OR(L1110="131",M1110="131"),H1110='131-CT'!$E$7),"x","")</f>
        <v/>
      </c>
      <c r="X1110" s="55" t="str">
        <f>IF(AND(B1110&gt;='IN-NX'!$P$3,B1110&lt;='IN-NX'!$Q$3,'IN-NX'!$D$7=D1110,OR(LEFT(TH!L1110,2)="15",LEFT(TH!M1110,2)="15")),"x","")</f>
        <v/>
      </c>
      <c r="Y1110" s="55" t="str">
        <f>IF(AND(OR(LEFT(TH!L1110,2)="15",LEFT(TH!M1110,2)="15"),'152-CT'!$J$8=TH!F1110),"x","")</f>
        <v/>
      </c>
      <c r="Z1110" s="55" t="str">
        <f>IF(AND(OR(LEFT(TH!L1110,2)="15",LEFT(TH!M1110,2)="15"),TK!$E$7=TH!F1110),"x","")</f>
        <v/>
      </c>
      <c r="AA1110" s="55" t="str">
        <f>IF(AND(B1110&lt;=NKC!$N$8,B1110&gt;=NKC!$M$8),"x","")</f>
        <v>x</v>
      </c>
    </row>
    <row r="1111" spans="1:29" ht="15.75" customHeight="1">
      <c r="A1111" s="219" t="str">
        <f>IF(B1111&lt;&gt;"",IF(AND(B1111&gt;=_TM1,B1111&lt;=_TM2,OR(TH!L1111="1111",TH!M1111="1111")),TH!D1111,""),"")</f>
        <v/>
      </c>
      <c r="B1111" s="36">
        <f t="shared" si="48"/>
        <v>5</v>
      </c>
      <c r="C1111" s="205">
        <f t="shared" si="47"/>
        <v>41041</v>
      </c>
      <c r="D1111" s="205"/>
      <c r="E1111" s="205">
        <v>41041</v>
      </c>
      <c r="F1111" s="206" t="s">
        <v>1316</v>
      </c>
      <c r="G1111" s="581" t="s">
        <v>1314</v>
      </c>
      <c r="H1111" s="7" t="s">
        <v>416</v>
      </c>
      <c r="I1111" s="277">
        <v>200</v>
      </c>
      <c r="J1111" s="277">
        <v>9000</v>
      </c>
      <c r="K1111" s="698">
        <f t="shared" si="49"/>
        <v>1800000</v>
      </c>
      <c r="L1111" s="208" t="s">
        <v>311</v>
      </c>
      <c r="M1111" s="208" t="s">
        <v>208</v>
      </c>
      <c r="N1111" s="55" t="str">
        <f>IF(AND('331-CT'!$E$7=TH!H1111,OR(L1111="331",M1111="331")),"x","")</f>
        <v/>
      </c>
      <c r="O1111" s="55" t="str">
        <f>IF(AND($B1111&gt;='111'!$N$11,$B1111&lt;='111'!$O$11,OR($L1111=$O$7,$M1111=$O$7)),"x","")</f>
        <v/>
      </c>
      <c r="P1111" s="55" t="str">
        <f>IF(AND($L1111=$O$7,$B1111&lt;'111'!$N$11),"x","")</f>
        <v/>
      </c>
      <c r="Q1111" s="55" t="str">
        <f>IF(AND($M1111=$O$7,$B1111&lt;'111'!$N$11),"x","")</f>
        <v/>
      </c>
      <c r="R1111" s="55" t="str">
        <f>IF(ISERROR(FIND('112'!$M$9,G1111,1)),"",IF((AND(FIND('112'!$M$9,G1111,1)&gt;=1,$B1111&gt;='112'!$N$8,$B1111&lt;='112'!$O$8,OR($L1111='112'!$I$6,$M1111='112'!$I$6))),"x",""))</f>
        <v/>
      </c>
      <c r="S1111" s="55" t="str">
        <f>IF(ISERROR(FIND('112'!$M$9,G1111,1)),"",IF((AND(LEFT(G1111,2)=LEFT('112'!$M$9,2),B1111&lt;'112'!$N$8,$L1111='112'!$I$6)),"x",""))</f>
        <v/>
      </c>
      <c r="T1111" s="55" t="str">
        <f>IF(ISERROR(FIND('112'!$M$9,G1111,1)),"",IF((AND(RIGHT(G1111,2)=RIGHT('112'!$M$9,2),B1111&lt;'112'!$N$8,$M1111='112'!$I$6)),"x",""))</f>
        <v/>
      </c>
      <c r="U1111" s="55" t="str">
        <f>IF(AND('3411-CT'!$F$9=H1111,OR(LEFT(L1111,3)=$U$7,LEFT(M1111,3)=$U$7)),"x","")</f>
        <v/>
      </c>
      <c r="V1111" s="55" t="str">
        <f>IF(OR(TH!L1111=TH!$V$7,M1111=TH!$V$7),"x","")</f>
        <v/>
      </c>
      <c r="W1111" s="55" t="str">
        <f>IF(AND(OR(L1111="131",M1111="131"),H1111='131-CT'!$E$7),"x","")</f>
        <v/>
      </c>
      <c r="X1111" s="55" t="str">
        <f>IF(AND(B1111&gt;='IN-NX'!$P$3,B1111&lt;='IN-NX'!$Q$3,'IN-NX'!$D$7=D1111,OR(LEFT(TH!L1111,2)="15",LEFT(TH!M1111,2)="15")),"x","")</f>
        <v/>
      </c>
      <c r="Y1111" s="55" t="str">
        <f>IF(AND(OR(LEFT(TH!L1111,2)="15",LEFT(TH!M1111,2)="15"),'152-CT'!$J$8=TH!F1111),"x","")</f>
        <v/>
      </c>
      <c r="Z1111" s="55" t="str">
        <f>IF(AND(OR(LEFT(TH!L1111,2)="15",LEFT(TH!M1111,2)="15"),TK!$E$7=TH!F1111),"x","")</f>
        <v/>
      </c>
      <c r="AA1111" s="55" t="str">
        <f>IF(AND(B1111&lt;=NKC!$N$8,B1111&gt;=NKC!$M$8),"x","")</f>
        <v>x</v>
      </c>
    </row>
    <row r="1112" spans="1:29" ht="15.75" customHeight="1">
      <c r="A1112" s="219" t="str">
        <f>IF(B1112&lt;&gt;"",IF(AND(B1112&gt;=_TM1,B1112&lt;=_TM2,OR(TH!L1112="1111",TH!M1112="1111")),TH!D1112,""),"")</f>
        <v/>
      </c>
      <c r="B1112" s="36">
        <f t="shared" si="48"/>
        <v>5</v>
      </c>
      <c r="C1112" s="205">
        <f t="shared" si="47"/>
        <v>41041</v>
      </c>
      <c r="D1112" s="205"/>
      <c r="E1112" s="205">
        <v>41041</v>
      </c>
      <c r="F1112" s="206" t="s">
        <v>1301</v>
      </c>
      <c r="G1112" s="581" t="s">
        <v>1314</v>
      </c>
      <c r="H1112" s="7" t="s">
        <v>416</v>
      </c>
      <c r="I1112" s="277">
        <v>89</v>
      </c>
      <c r="J1112" s="277">
        <v>13320</v>
      </c>
      <c r="K1112" s="698">
        <f t="shared" si="49"/>
        <v>1185480</v>
      </c>
      <c r="L1112" s="208" t="s">
        <v>311</v>
      </c>
      <c r="M1112" s="208" t="s">
        <v>208</v>
      </c>
      <c r="N1112" s="55" t="str">
        <f>IF(AND('331-CT'!$E$7=TH!H1112,OR(L1112="331",M1112="331")),"x","")</f>
        <v/>
      </c>
      <c r="O1112" s="55" t="str">
        <f>IF(AND($B1112&gt;='111'!$N$11,$B1112&lt;='111'!$O$11,OR($L1112=$O$7,$M1112=$O$7)),"x","")</f>
        <v/>
      </c>
      <c r="P1112" s="55" t="str">
        <f>IF(AND($L1112=$O$7,$B1112&lt;'111'!$N$11),"x","")</f>
        <v/>
      </c>
      <c r="Q1112" s="55" t="str">
        <f>IF(AND($M1112=$O$7,$B1112&lt;'111'!$N$11),"x","")</f>
        <v/>
      </c>
      <c r="R1112" s="55" t="str">
        <f>IF(ISERROR(FIND('112'!$M$9,G1112,1)),"",IF((AND(FIND('112'!$M$9,G1112,1)&gt;=1,$B1112&gt;='112'!$N$8,$B1112&lt;='112'!$O$8,OR($L1112='112'!$I$6,$M1112='112'!$I$6))),"x",""))</f>
        <v/>
      </c>
      <c r="S1112" s="55" t="str">
        <f>IF(ISERROR(FIND('112'!$M$9,G1112,1)),"",IF((AND(LEFT(G1112,2)=LEFT('112'!$M$9,2),B1112&lt;'112'!$N$8,$L1112='112'!$I$6)),"x",""))</f>
        <v/>
      </c>
      <c r="T1112" s="55" t="str">
        <f>IF(ISERROR(FIND('112'!$M$9,G1112,1)),"",IF((AND(RIGHT(G1112,2)=RIGHT('112'!$M$9,2),B1112&lt;'112'!$N$8,$M1112='112'!$I$6)),"x",""))</f>
        <v/>
      </c>
      <c r="U1112" s="55" t="str">
        <f>IF(AND('3411-CT'!$F$9=H1112,OR(LEFT(L1112,3)=$U$7,LEFT(M1112,3)=$U$7)),"x","")</f>
        <v/>
      </c>
      <c r="V1112" s="55" t="str">
        <f>IF(OR(TH!L1112=TH!$V$7,M1112=TH!$V$7),"x","")</f>
        <v/>
      </c>
      <c r="W1112" s="55" t="str">
        <f>IF(AND(OR(L1112="131",M1112="131"),H1112='131-CT'!$E$7),"x","")</f>
        <v/>
      </c>
      <c r="X1112" s="55" t="str">
        <f>IF(AND(B1112&gt;='IN-NX'!$P$3,B1112&lt;='IN-NX'!$Q$3,'IN-NX'!$D$7=D1112,OR(LEFT(TH!L1112,2)="15",LEFT(TH!M1112,2)="15")),"x","")</f>
        <v/>
      </c>
      <c r="Y1112" s="55" t="str">
        <f>IF(AND(OR(LEFT(TH!L1112,2)="15",LEFT(TH!M1112,2)="15"),'152-CT'!$J$8=TH!F1112),"x","")</f>
        <v/>
      </c>
      <c r="Z1112" s="55" t="str">
        <f>IF(AND(OR(LEFT(TH!L1112,2)="15",LEFT(TH!M1112,2)="15"),TK!$E$7=TH!F1112),"x","")</f>
        <v/>
      </c>
      <c r="AA1112" s="55" t="str">
        <f>IF(AND(B1112&lt;=NKC!$N$8,B1112&gt;=NKC!$M$8),"x","")</f>
        <v>x</v>
      </c>
    </row>
    <row r="1113" spans="1:29" ht="15.75" customHeight="1">
      <c r="A1113" s="219" t="str">
        <f>IF(B1113&lt;&gt;"",IF(AND(B1113&gt;=_TM1,B1113&lt;=_TM2,OR(TH!L1113="1111",TH!M1113="1111")),TH!D1113,""),"")</f>
        <v/>
      </c>
      <c r="B1113" s="36">
        <f t="shared" si="48"/>
        <v>5</v>
      </c>
      <c r="C1113" s="205">
        <f t="shared" si="47"/>
        <v>41041</v>
      </c>
      <c r="D1113" s="205"/>
      <c r="E1113" s="205">
        <v>41041</v>
      </c>
      <c r="F1113" s="206" t="s">
        <v>1185</v>
      </c>
      <c r="G1113" s="581" t="s">
        <v>1314</v>
      </c>
      <c r="H1113" s="7" t="s">
        <v>416</v>
      </c>
      <c r="I1113" s="277"/>
      <c r="J1113" s="277"/>
      <c r="K1113" s="698">
        <v>1081224</v>
      </c>
      <c r="L1113" s="208" t="s">
        <v>311</v>
      </c>
      <c r="M1113" s="208" t="s">
        <v>549</v>
      </c>
      <c r="N1113" s="55" t="str">
        <f>IF(AND('331-CT'!$E$7=TH!H1113,OR(L1113="331",M1113="331")),"x","")</f>
        <v/>
      </c>
      <c r="O1113" s="55" t="str">
        <f>IF(AND($B1113&gt;='111'!$N$11,$B1113&lt;='111'!$O$11,OR($L1113=$O$7,$M1113=$O$7)),"x","")</f>
        <v/>
      </c>
      <c r="P1113" s="55" t="str">
        <f>IF(AND($L1113=$O$7,$B1113&lt;'111'!$N$11),"x","")</f>
        <v/>
      </c>
      <c r="Q1113" s="55" t="str">
        <f>IF(AND($M1113=$O$7,$B1113&lt;'111'!$N$11),"x","")</f>
        <v/>
      </c>
      <c r="R1113" s="55" t="str">
        <f>IF(ISERROR(FIND('112'!$M$9,G1113,1)),"",IF((AND(FIND('112'!$M$9,G1113,1)&gt;=1,$B1113&gt;='112'!$N$8,$B1113&lt;='112'!$O$8,OR($L1113='112'!$I$6,$M1113='112'!$I$6))),"x",""))</f>
        <v/>
      </c>
      <c r="S1113" s="55" t="str">
        <f>IF(ISERROR(FIND('112'!$M$9,G1113,1)),"",IF((AND(LEFT(G1113,2)=LEFT('112'!$M$9,2),B1113&lt;'112'!$N$8,$L1113='112'!$I$6)),"x",""))</f>
        <v/>
      </c>
      <c r="T1113" s="55" t="str">
        <f>IF(ISERROR(FIND('112'!$M$9,G1113,1)),"",IF((AND(RIGHT(G1113,2)=RIGHT('112'!$M$9,2),B1113&lt;'112'!$N$8,$M1113='112'!$I$6)),"x",""))</f>
        <v/>
      </c>
      <c r="U1113" s="55" t="str">
        <f>IF(AND('3411-CT'!$F$9=H1113,OR(LEFT(L1113,3)=$U$7,LEFT(M1113,3)=$U$7)),"x","")</f>
        <v/>
      </c>
      <c r="V1113" s="55" t="str">
        <f>IF(OR(TH!L1113=TH!$V$7,M1113=TH!$V$7),"x","")</f>
        <v/>
      </c>
      <c r="W1113" s="55" t="str">
        <f>IF(AND(OR(L1113="131",M1113="131"),H1113='131-CT'!$E$7),"x","")</f>
        <v/>
      </c>
      <c r="X1113" s="55" t="str">
        <f>IF(AND(B1113&gt;='IN-NX'!$P$3,B1113&lt;='IN-NX'!$Q$3,'IN-NX'!$D$7=D1113,OR(LEFT(TH!L1113,2)="15",LEFT(TH!M1113,2)="15")),"x","")</f>
        <v/>
      </c>
      <c r="Y1113" s="55" t="str">
        <f>IF(AND(OR(LEFT(TH!L1113,2)="15",LEFT(TH!M1113,2)="15"),'152-CT'!$J$8=TH!F1113),"x","")</f>
        <v/>
      </c>
      <c r="Z1113" s="55" t="str">
        <f>IF(AND(OR(LEFT(TH!L1113,2)="15",LEFT(TH!M1113,2)="15"),TK!$E$7=TH!F1113),"x","")</f>
        <v/>
      </c>
      <c r="AA1113" s="55" t="str">
        <f>IF(AND(B1113&lt;=NKC!$N$8,B1113&gt;=NKC!$M$8),"x","")</f>
        <v>x</v>
      </c>
      <c r="AC1113" s="226"/>
    </row>
    <row r="1114" spans="1:29" ht="15.75" customHeight="1">
      <c r="A1114" s="219" t="str">
        <f>IF(B1114&lt;&gt;"",IF(AND(B1114&gt;=_TM1,B1114&lt;=_TM2,OR(TH!L1114="1111",TH!M1114="1111")),TH!D1114,""),"")</f>
        <v/>
      </c>
      <c r="B1114" s="36">
        <f t="shared" si="48"/>
        <v>5</v>
      </c>
      <c r="C1114" s="205">
        <f t="shared" si="47"/>
        <v>41045</v>
      </c>
      <c r="D1114" s="205"/>
      <c r="E1114" s="205">
        <v>41045</v>
      </c>
      <c r="F1114" s="206" t="s">
        <v>1317</v>
      </c>
      <c r="G1114" s="581" t="s">
        <v>1318</v>
      </c>
      <c r="H1114" s="207" t="s">
        <v>1319</v>
      </c>
      <c r="I1114" s="277">
        <v>249</v>
      </c>
      <c r="J1114" s="277">
        <v>8050</v>
      </c>
      <c r="K1114" s="698">
        <f t="shared" si="49"/>
        <v>2004450</v>
      </c>
      <c r="L1114" s="208" t="s">
        <v>49</v>
      </c>
      <c r="M1114" s="208" t="s">
        <v>208</v>
      </c>
      <c r="N1114" s="55" t="str">
        <f>IF(AND('331-CT'!$E$7=TH!H1114,OR(L1114="331",M1114="331")),"x","")</f>
        <v/>
      </c>
      <c r="O1114" s="55" t="str">
        <f>IF(AND($B1114&gt;='111'!$N$11,$B1114&lt;='111'!$O$11,OR($L1114=$O$7,$M1114=$O$7)),"x","")</f>
        <v/>
      </c>
      <c r="P1114" s="55" t="str">
        <f>IF(AND($L1114=$O$7,$B1114&lt;'111'!$N$11),"x","")</f>
        <v>x</v>
      </c>
      <c r="Q1114" s="55" t="str">
        <f>IF(AND($M1114=$O$7,$B1114&lt;'111'!$N$11),"x","")</f>
        <v/>
      </c>
      <c r="R1114" s="55" t="str">
        <f>IF(ISERROR(FIND('112'!$M$9,G1114,1)),"",IF((AND(FIND('112'!$M$9,G1114,1)&gt;=1,$B1114&gt;='112'!$N$8,$B1114&lt;='112'!$O$8,OR($L1114='112'!$I$6,$M1114='112'!$I$6))),"x",""))</f>
        <v/>
      </c>
      <c r="S1114" s="55" t="str">
        <f>IF(ISERROR(FIND('112'!$M$9,G1114,1)),"",IF((AND(LEFT(G1114,2)=LEFT('112'!$M$9,2),B1114&lt;'112'!$N$8,$L1114='112'!$I$6)),"x",""))</f>
        <v/>
      </c>
      <c r="T1114" s="55" t="str">
        <f>IF(ISERROR(FIND('112'!$M$9,G1114,1)),"",IF((AND(RIGHT(G1114,2)=RIGHT('112'!$M$9,2),B1114&lt;'112'!$N$8,$M1114='112'!$I$6)),"x",""))</f>
        <v/>
      </c>
      <c r="U1114" s="55" t="str">
        <f>IF(AND('3411-CT'!$F$9=H1114,OR(LEFT(L1114,3)=$U$7,LEFT(M1114,3)=$U$7)),"x","")</f>
        <v/>
      </c>
      <c r="V1114" s="55" t="str">
        <f>IF(OR(TH!L1114=TH!$V$7,M1114=TH!$V$7),"x","")</f>
        <v/>
      </c>
      <c r="W1114" s="55" t="str">
        <f>IF(AND(OR(L1114="131",M1114="131"),H1114='131-CT'!$E$7),"x","")</f>
        <v/>
      </c>
      <c r="X1114" s="55" t="str">
        <f>IF(AND(B1114&gt;='IN-NX'!$P$3,B1114&lt;='IN-NX'!$Q$3,'IN-NX'!$D$7=D1114,OR(LEFT(TH!L1114,2)="15",LEFT(TH!M1114,2)="15")),"x","")</f>
        <v/>
      </c>
      <c r="Y1114" s="55" t="str">
        <f>IF(AND(OR(LEFT(TH!L1114,2)="15",LEFT(TH!M1114,2)="15"),'152-CT'!$J$8=TH!F1114),"x","")</f>
        <v/>
      </c>
      <c r="Z1114" s="55" t="str">
        <f>IF(AND(OR(LEFT(TH!L1114,2)="15",LEFT(TH!M1114,2)="15"),TK!$E$7=TH!F1114),"x","")</f>
        <v/>
      </c>
      <c r="AA1114" s="55" t="str">
        <f>IF(AND(B1114&lt;=NKC!$N$8,B1114&gt;=NKC!$M$8),"x","")</f>
        <v>x</v>
      </c>
    </row>
    <row r="1115" spans="1:29" ht="15.75" customHeight="1">
      <c r="A1115" s="219" t="str">
        <f>IF(B1115&lt;&gt;"",IF(AND(B1115&gt;=_TM1,B1115&lt;=_TM2,OR(TH!L1115="1111",TH!M1115="1111")),TH!D1115,""),"")</f>
        <v/>
      </c>
      <c r="B1115" s="36">
        <f t="shared" si="48"/>
        <v>5</v>
      </c>
      <c r="C1115" s="205">
        <f t="shared" si="47"/>
        <v>41045</v>
      </c>
      <c r="D1115" s="205"/>
      <c r="E1115" s="205">
        <v>41045</v>
      </c>
      <c r="F1115" s="206" t="s">
        <v>1320</v>
      </c>
      <c r="G1115" s="581" t="s">
        <v>1318</v>
      </c>
      <c r="H1115" s="207" t="s">
        <v>1319</v>
      </c>
      <c r="I1115" s="277">
        <v>202</v>
      </c>
      <c r="J1115" s="277">
        <v>8050</v>
      </c>
      <c r="K1115" s="698">
        <f t="shared" si="49"/>
        <v>1626100</v>
      </c>
      <c r="L1115" s="208" t="s">
        <v>49</v>
      </c>
      <c r="M1115" s="208" t="s">
        <v>208</v>
      </c>
      <c r="N1115" s="55" t="str">
        <f>IF(AND('331-CT'!$E$7=TH!H1115,OR(L1115="331",M1115="331")),"x","")</f>
        <v/>
      </c>
      <c r="O1115" s="55" t="str">
        <f>IF(AND($B1115&gt;='111'!$N$11,$B1115&lt;='111'!$O$11,OR($L1115=$O$7,$M1115=$O$7)),"x","")</f>
        <v/>
      </c>
      <c r="P1115" s="55" t="str">
        <f>IF(AND($L1115=$O$7,$B1115&lt;'111'!$N$11),"x","")</f>
        <v>x</v>
      </c>
      <c r="Q1115" s="55" t="str">
        <f>IF(AND($M1115=$O$7,$B1115&lt;'111'!$N$11),"x","")</f>
        <v/>
      </c>
      <c r="R1115" s="55" t="str">
        <f>IF(ISERROR(FIND('112'!$M$9,G1115,1)),"",IF((AND(FIND('112'!$M$9,G1115,1)&gt;=1,$B1115&gt;='112'!$N$8,$B1115&lt;='112'!$O$8,OR($L1115='112'!$I$6,$M1115='112'!$I$6))),"x",""))</f>
        <v/>
      </c>
      <c r="S1115" s="55" t="str">
        <f>IF(ISERROR(FIND('112'!$M$9,G1115,1)),"",IF((AND(LEFT(G1115,2)=LEFT('112'!$M$9,2),B1115&lt;'112'!$N$8,$L1115='112'!$I$6)),"x",""))</f>
        <v/>
      </c>
      <c r="T1115" s="55" t="str">
        <f>IF(ISERROR(FIND('112'!$M$9,G1115,1)),"",IF((AND(RIGHT(G1115,2)=RIGHT('112'!$M$9,2),B1115&lt;'112'!$N$8,$M1115='112'!$I$6)),"x",""))</f>
        <v/>
      </c>
      <c r="U1115" s="55" t="str">
        <f>IF(AND('3411-CT'!$F$9=H1115,OR(LEFT(L1115,3)=$U$7,LEFT(M1115,3)=$U$7)),"x","")</f>
        <v/>
      </c>
      <c r="V1115" s="55" t="str">
        <f>IF(OR(TH!L1115=TH!$V$7,M1115=TH!$V$7),"x","")</f>
        <v/>
      </c>
      <c r="W1115" s="55" t="str">
        <f>IF(AND(OR(L1115="131",M1115="131"),H1115='131-CT'!$E$7),"x","")</f>
        <v/>
      </c>
      <c r="X1115" s="55" t="str">
        <f>IF(AND(B1115&gt;='IN-NX'!$P$3,B1115&lt;='IN-NX'!$Q$3,'IN-NX'!$D$7=D1115,OR(LEFT(TH!L1115,2)="15",LEFT(TH!M1115,2)="15")),"x","")</f>
        <v/>
      </c>
      <c r="Y1115" s="55" t="str">
        <f>IF(AND(OR(LEFT(TH!L1115,2)="15",LEFT(TH!M1115,2)="15"),'152-CT'!$J$8=TH!F1115),"x","")</f>
        <v/>
      </c>
      <c r="Z1115" s="55" t="str">
        <f>IF(AND(OR(LEFT(TH!L1115,2)="15",LEFT(TH!M1115,2)="15"),TK!$E$7=TH!F1115),"x","")</f>
        <v/>
      </c>
      <c r="AA1115" s="55" t="str">
        <f>IF(AND(B1115&lt;=NKC!$N$8,B1115&gt;=NKC!$M$8),"x","")</f>
        <v>x</v>
      </c>
    </row>
    <row r="1116" spans="1:29" ht="15.75" customHeight="1">
      <c r="A1116" s="219" t="str">
        <f>IF(B1116&lt;&gt;"",IF(AND(B1116&gt;=_TM1,B1116&lt;=_TM2,OR(TH!L1116="1111",TH!M1116="1111")),TH!D1116,""),"")</f>
        <v/>
      </c>
      <c r="B1116" s="36">
        <f t="shared" si="48"/>
        <v>5</v>
      </c>
      <c r="C1116" s="205">
        <f t="shared" si="47"/>
        <v>41045</v>
      </c>
      <c r="D1116" s="205"/>
      <c r="E1116" s="205">
        <v>41045</v>
      </c>
      <c r="F1116" s="206" t="s">
        <v>1285</v>
      </c>
      <c r="G1116" s="581" t="s">
        <v>1318</v>
      </c>
      <c r="H1116" s="207" t="s">
        <v>1319</v>
      </c>
      <c r="I1116" s="277">
        <v>783</v>
      </c>
      <c r="J1116" s="277">
        <v>6700</v>
      </c>
      <c r="K1116" s="698">
        <f t="shared" si="49"/>
        <v>5246100</v>
      </c>
      <c r="L1116" s="208" t="s">
        <v>49</v>
      </c>
      <c r="M1116" s="208" t="s">
        <v>208</v>
      </c>
      <c r="N1116" s="55" t="str">
        <f>IF(AND('331-CT'!$E$7=TH!H1116,OR(L1116="331",M1116="331")),"x","")</f>
        <v/>
      </c>
      <c r="O1116" s="55" t="str">
        <f>IF(AND($B1116&gt;='111'!$N$11,$B1116&lt;='111'!$O$11,OR($L1116=$O$7,$M1116=$O$7)),"x","")</f>
        <v/>
      </c>
      <c r="P1116" s="55" t="str">
        <f>IF(AND($L1116=$O$7,$B1116&lt;'111'!$N$11),"x","")</f>
        <v>x</v>
      </c>
      <c r="Q1116" s="55" t="str">
        <f>IF(AND($M1116=$O$7,$B1116&lt;'111'!$N$11),"x","")</f>
        <v/>
      </c>
      <c r="R1116" s="55" t="str">
        <f>IF(ISERROR(FIND('112'!$M$9,G1116,1)),"",IF((AND(FIND('112'!$M$9,G1116,1)&gt;=1,$B1116&gt;='112'!$N$8,$B1116&lt;='112'!$O$8,OR($L1116='112'!$I$6,$M1116='112'!$I$6))),"x",""))</f>
        <v/>
      </c>
      <c r="S1116" s="55" t="str">
        <f>IF(ISERROR(FIND('112'!$M$9,G1116,1)),"",IF((AND(LEFT(G1116,2)=LEFT('112'!$M$9,2),B1116&lt;'112'!$N$8,$L1116='112'!$I$6)),"x",""))</f>
        <v/>
      </c>
      <c r="T1116" s="55" t="str">
        <f>IF(ISERROR(FIND('112'!$M$9,G1116,1)),"",IF((AND(RIGHT(G1116,2)=RIGHT('112'!$M$9,2),B1116&lt;'112'!$N$8,$M1116='112'!$I$6)),"x",""))</f>
        <v/>
      </c>
      <c r="U1116" s="55" t="str">
        <f>IF(AND('3411-CT'!$F$9=H1116,OR(LEFT(L1116,3)=$U$7,LEFT(M1116,3)=$U$7)),"x","")</f>
        <v/>
      </c>
      <c r="V1116" s="55" t="str">
        <f>IF(OR(TH!L1116=TH!$V$7,M1116=TH!$V$7),"x","")</f>
        <v/>
      </c>
      <c r="W1116" s="55" t="str">
        <f>IF(AND(OR(L1116="131",M1116="131"),H1116='131-CT'!$E$7),"x","")</f>
        <v/>
      </c>
      <c r="X1116" s="55" t="str">
        <f>IF(AND(B1116&gt;='IN-NX'!$P$3,B1116&lt;='IN-NX'!$Q$3,'IN-NX'!$D$7=D1116,OR(LEFT(TH!L1116,2)="15",LEFT(TH!M1116,2)="15")),"x","")</f>
        <v/>
      </c>
      <c r="Y1116" s="55" t="str">
        <f>IF(AND(OR(LEFT(TH!L1116,2)="15",LEFT(TH!M1116,2)="15"),'152-CT'!$J$8=TH!F1116),"x","")</f>
        <v/>
      </c>
      <c r="Z1116" s="55" t="str">
        <f>IF(AND(OR(LEFT(TH!L1116,2)="15",LEFT(TH!M1116,2)="15"),TK!$E$7=TH!F1116),"x","")</f>
        <v/>
      </c>
      <c r="AA1116" s="55" t="str">
        <f>IF(AND(B1116&lt;=NKC!$N$8,B1116&gt;=NKC!$M$8),"x","")</f>
        <v>x</v>
      </c>
    </row>
    <row r="1117" spans="1:29" ht="15.75" customHeight="1">
      <c r="A1117" s="219" t="str">
        <f>IF(B1117&lt;&gt;"",IF(AND(B1117&gt;=_TM1,B1117&lt;=_TM2,OR(TH!L1117="1111",TH!M1117="1111")),TH!D1117,""),"")</f>
        <v/>
      </c>
      <c r="B1117" s="36">
        <f t="shared" si="48"/>
        <v>5</v>
      </c>
      <c r="C1117" s="205">
        <f t="shared" si="47"/>
        <v>41045</v>
      </c>
      <c r="D1117" s="205"/>
      <c r="E1117" s="205">
        <v>41045</v>
      </c>
      <c r="F1117" s="206" t="s">
        <v>1321</v>
      </c>
      <c r="G1117" s="581" t="s">
        <v>1318</v>
      </c>
      <c r="H1117" s="207" t="s">
        <v>1319</v>
      </c>
      <c r="I1117" s="277">
        <v>1200</v>
      </c>
      <c r="J1117" s="277">
        <v>337</v>
      </c>
      <c r="K1117" s="698">
        <f t="shared" si="49"/>
        <v>404400</v>
      </c>
      <c r="L1117" s="208" t="s">
        <v>49</v>
      </c>
      <c r="M1117" s="208" t="s">
        <v>208</v>
      </c>
      <c r="N1117" s="55" t="str">
        <f>IF(AND('331-CT'!$E$7=TH!H1117,OR(L1117="331",M1117="331")),"x","")</f>
        <v/>
      </c>
      <c r="O1117" s="55" t="str">
        <f>IF(AND($B1117&gt;='111'!$N$11,$B1117&lt;='111'!$O$11,OR($L1117=$O$7,$M1117=$O$7)),"x","")</f>
        <v/>
      </c>
      <c r="P1117" s="55" t="str">
        <f>IF(AND($L1117=$O$7,$B1117&lt;'111'!$N$11),"x","")</f>
        <v>x</v>
      </c>
      <c r="Q1117" s="55" t="str">
        <f>IF(AND($M1117=$O$7,$B1117&lt;'111'!$N$11),"x","")</f>
        <v/>
      </c>
      <c r="R1117" s="55" t="str">
        <f>IF(ISERROR(FIND('112'!$M$9,G1117,1)),"",IF((AND(FIND('112'!$M$9,G1117,1)&gt;=1,$B1117&gt;='112'!$N$8,$B1117&lt;='112'!$O$8,OR($L1117='112'!$I$6,$M1117='112'!$I$6))),"x",""))</f>
        <v/>
      </c>
      <c r="S1117" s="55" t="str">
        <f>IF(ISERROR(FIND('112'!$M$9,G1117,1)),"",IF((AND(LEFT(G1117,2)=LEFT('112'!$M$9,2),B1117&lt;'112'!$N$8,$L1117='112'!$I$6)),"x",""))</f>
        <v/>
      </c>
      <c r="T1117" s="55" t="str">
        <f>IF(ISERROR(FIND('112'!$M$9,G1117,1)),"",IF((AND(RIGHT(G1117,2)=RIGHT('112'!$M$9,2),B1117&lt;'112'!$N$8,$M1117='112'!$I$6)),"x",""))</f>
        <v/>
      </c>
      <c r="U1117" s="55" t="str">
        <f>IF(AND('3411-CT'!$F$9=H1117,OR(LEFT(L1117,3)=$U$7,LEFT(M1117,3)=$U$7)),"x","")</f>
        <v/>
      </c>
      <c r="V1117" s="55" t="str">
        <f>IF(OR(TH!L1117=TH!$V$7,M1117=TH!$V$7),"x","")</f>
        <v/>
      </c>
      <c r="W1117" s="55" t="str">
        <f>IF(AND(OR(L1117="131",M1117="131"),H1117='131-CT'!$E$7),"x","")</f>
        <v/>
      </c>
      <c r="X1117" s="55" t="str">
        <f>IF(AND(B1117&gt;='IN-NX'!$P$3,B1117&lt;='IN-NX'!$Q$3,'IN-NX'!$D$7=D1117,OR(LEFT(TH!L1117,2)="15",LEFT(TH!M1117,2)="15")),"x","")</f>
        <v/>
      </c>
      <c r="Y1117" s="55" t="str">
        <f>IF(AND(OR(LEFT(TH!L1117,2)="15",LEFT(TH!M1117,2)="15"),'152-CT'!$J$8=TH!F1117),"x","")</f>
        <v/>
      </c>
      <c r="Z1117" s="55" t="str">
        <f>IF(AND(OR(LEFT(TH!L1117,2)="15",LEFT(TH!M1117,2)="15"),TK!$E$7=TH!F1117),"x","")</f>
        <v/>
      </c>
      <c r="AA1117" s="55" t="str">
        <f>IF(AND(B1117&lt;=NKC!$N$8,B1117&gt;=NKC!$M$8),"x","")</f>
        <v>x</v>
      </c>
    </row>
    <row r="1118" spans="1:29" ht="15.75" customHeight="1">
      <c r="A1118" s="219" t="str">
        <f>IF(B1118&lt;&gt;"",IF(AND(B1118&gt;=_TM1,B1118&lt;=_TM2,OR(TH!L1118="1111",TH!M1118="1111")),TH!D1118,""),"")</f>
        <v/>
      </c>
      <c r="B1118" s="36">
        <f t="shared" si="48"/>
        <v>5</v>
      </c>
      <c r="C1118" s="205">
        <f t="shared" si="47"/>
        <v>41045</v>
      </c>
      <c r="D1118" s="205"/>
      <c r="E1118" s="205">
        <v>41045</v>
      </c>
      <c r="F1118" s="206" t="s">
        <v>1185</v>
      </c>
      <c r="G1118" s="581" t="s">
        <v>1318</v>
      </c>
      <c r="H1118" s="207" t="s">
        <v>1319</v>
      </c>
      <c r="I1118" s="277"/>
      <c r="J1118" s="277"/>
      <c r="K1118" s="698">
        <v>928105</v>
      </c>
      <c r="L1118" s="208" t="s">
        <v>49</v>
      </c>
      <c r="M1118" s="208" t="s">
        <v>549</v>
      </c>
      <c r="N1118" s="55" t="str">
        <f>IF(AND('331-CT'!$E$7=TH!H1118,OR(L1118="331",M1118="331")),"x","")</f>
        <v/>
      </c>
      <c r="O1118" s="55" t="str">
        <f>IF(AND($B1118&gt;='111'!$N$11,$B1118&lt;='111'!$O$11,OR($L1118=$O$7,$M1118=$O$7)),"x","")</f>
        <v/>
      </c>
      <c r="P1118" s="55" t="str">
        <f>IF(AND($L1118=$O$7,$B1118&lt;'111'!$N$11),"x","")</f>
        <v>x</v>
      </c>
      <c r="Q1118" s="55" t="str">
        <f>IF(AND($M1118=$O$7,$B1118&lt;'111'!$N$11),"x","")</f>
        <v/>
      </c>
      <c r="R1118" s="55" t="str">
        <f>IF(ISERROR(FIND('112'!$M$9,G1118,1)),"",IF((AND(FIND('112'!$M$9,G1118,1)&gt;=1,$B1118&gt;='112'!$N$8,$B1118&lt;='112'!$O$8,OR($L1118='112'!$I$6,$M1118='112'!$I$6))),"x",""))</f>
        <v/>
      </c>
      <c r="S1118" s="55" t="str">
        <f>IF(ISERROR(FIND('112'!$M$9,G1118,1)),"",IF((AND(LEFT(G1118,2)=LEFT('112'!$M$9,2),B1118&lt;'112'!$N$8,$L1118='112'!$I$6)),"x",""))</f>
        <v/>
      </c>
      <c r="T1118" s="55" t="str">
        <f>IF(ISERROR(FIND('112'!$M$9,G1118,1)),"",IF((AND(RIGHT(G1118,2)=RIGHT('112'!$M$9,2),B1118&lt;'112'!$N$8,$M1118='112'!$I$6)),"x",""))</f>
        <v/>
      </c>
      <c r="U1118" s="55" t="str">
        <f>IF(AND('3411-CT'!$F$9=H1118,OR(LEFT(L1118,3)=$U$7,LEFT(M1118,3)=$U$7)),"x","")</f>
        <v/>
      </c>
      <c r="V1118" s="55" t="str">
        <f>IF(OR(TH!L1118=TH!$V$7,M1118=TH!$V$7),"x","")</f>
        <v/>
      </c>
      <c r="W1118" s="55" t="str">
        <f>IF(AND(OR(L1118="131",M1118="131"),H1118='131-CT'!$E$7),"x","")</f>
        <v/>
      </c>
      <c r="X1118" s="55" t="str">
        <f>IF(AND(B1118&gt;='IN-NX'!$P$3,B1118&lt;='IN-NX'!$Q$3,'IN-NX'!$D$7=D1118,OR(LEFT(TH!L1118,2)="15",LEFT(TH!M1118,2)="15")),"x","")</f>
        <v/>
      </c>
      <c r="Y1118" s="55" t="str">
        <f>IF(AND(OR(LEFT(TH!L1118,2)="15",LEFT(TH!M1118,2)="15"),'152-CT'!$J$8=TH!F1118),"x","")</f>
        <v/>
      </c>
      <c r="Z1118" s="55" t="str">
        <f>IF(AND(OR(LEFT(TH!L1118,2)="15",LEFT(TH!M1118,2)="15"),TK!$E$7=TH!F1118),"x","")</f>
        <v/>
      </c>
      <c r="AA1118" s="55" t="str">
        <f>IF(AND(B1118&lt;=NKC!$N$8,B1118&gt;=NKC!$M$8),"x","")</f>
        <v>x</v>
      </c>
      <c r="AC1118" s="226"/>
    </row>
    <row r="1119" spans="1:29" ht="15.75" customHeight="1">
      <c r="A1119" s="219" t="str">
        <f>IF(B1119&lt;&gt;"",IF(AND(B1119&gt;=_TM1,B1119&lt;=_TM2,OR(TH!L1119="1111",TH!M1119="1111")),TH!D1119,""),"")</f>
        <v/>
      </c>
      <c r="B1119" s="36">
        <f t="shared" si="48"/>
        <v>5</v>
      </c>
      <c r="C1119" s="205">
        <f t="shared" si="47"/>
        <v>41047</v>
      </c>
      <c r="D1119" s="205"/>
      <c r="E1119" s="205">
        <v>41047</v>
      </c>
      <c r="F1119" s="331" t="s">
        <v>1322</v>
      </c>
      <c r="G1119" s="581" t="s">
        <v>1323</v>
      </c>
      <c r="H1119" s="45" t="s">
        <v>1136</v>
      </c>
      <c r="I1119" s="277">
        <v>100</v>
      </c>
      <c r="J1119" s="277">
        <v>53900</v>
      </c>
      <c r="K1119" s="698">
        <f t="shared" si="49"/>
        <v>5390000</v>
      </c>
      <c r="L1119" s="208" t="s">
        <v>311</v>
      </c>
      <c r="M1119" s="208" t="s">
        <v>208</v>
      </c>
      <c r="N1119" s="55" t="str">
        <f>IF(AND('331-CT'!$E$7=TH!H1119,OR(L1119="331",M1119="331")),"x","")</f>
        <v/>
      </c>
      <c r="O1119" s="55" t="str">
        <f>IF(AND($B1119&gt;='111'!$N$11,$B1119&lt;='111'!$O$11,OR($L1119=$O$7,$M1119=$O$7)),"x","")</f>
        <v/>
      </c>
      <c r="P1119" s="55" t="str">
        <f>IF(AND($L1119=$O$7,$B1119&lt;'111'!$N$11),"x","")</f>
        <v/>
      </c>
      <c r="Q1119" s="55" t="str">
        <f>IF(AND($M1119=$O$7,$B1119&lt;'111'!$N$11),"x","")</f>
        <v/>
      </c>
      <c r="R1119" s="55" t="str">
        <f>IF(ISERROR(FIND('112'!$M$9,G1119,1)),"",IF((AND(FIND('112'!$M$9,G1119,1)&gt;=1,$B1119&gt;='112'!$N$8,$B1119&lt;='112'!$O$8,OR($L1119='112'!$I$6,$M1119='112'!$I$6))),"x",""))</f>
        <v/>
      </c>
      <c r="S1119" s="55" t="str">
        <f>IF(ISERROR(FIND('112'!$M$9,G1119,1)),"",IF((AND(LEFT(G1119,2)=LEFT('112'!$M$9,2),B1119&lt;'112'!$N$8,$L1119='112'!$I$6)),"x",""))</f>
        <v/>
      </c>
      <c r="T1119" s="55" t="str">
        <f>IF(ISERROR(FIND('112'!$M$9,G1119,1)),"",IF((AND(RIGHT(G1119,2)=RIGHT('112'!$M$9,2),B1119&lt;'112'!$N$8,$M1119='112'!$I$6)),"x",""))</f>
        <v/>
      </c>
      <c r="U1119" s="55" t="str">
        <f>IF(AND('3411-CT'!$F$9=H1119,OR(LEFT(L1119,3)=$U$7,LEFT(M1119,3)=$U$7)),"x","")</f>
        <v/>
      </c>
      <c r="V1119" s="55" t="str">
        <f>IF(OR(TH!L1119=TH!$V$7,M1119=TH!$V$7),"x","")</f>
        <v/>
      </c>
      <c r="W1119" s="55" t="str">
        <f>IF(AND(OR(L1119="131",M1119="131"),H1119='131-CT'!$E$7),"x","")</f>
        <v/>
      </c>
      <c r="X1119" s="55" t="str">
        <f>IF(AND(B1119&gt;='IN-NX'!$P$3,B1119&lt;='IN-NX'!$Q$3,'IN-NX'!$D$7=D1119,OR(LEFT(TH!L1119,2)="15",LEFT(TH!M1119,2)="15")),"x","")</f>
        <v/>
      </c>
      <c r="Y1119" s="55" t="str">
        <f>IF(AND(OR(LEFT(TH!L1119,2)="15",LEFT(TH!M1119,2)="15"),'152-CT'!$J$8=TH!F1119),"x","")</f>
        <v/>
      </c>
      <c r="Z1119" s="55" t="str">
        <f>IF(AND(OR(LEFT(TH!L1119,2)="15",LEFT(TH!M1119,2)="15"),TK!$E$7=TH!F1119),"x","")</f>
        <v/>
      </c>
      <c r="AA1119" s="55" t="str">
        <f>IF(AND(B1119&lt;=NKC!$N$8,B1119&gt;=NKC!$M$8),"x","")</f>
        <v>x</v>
      </c>
    </row>
    <row r="1120" spans="1:29" ht="15.75" customHeight="1">
      <c r="A1120" s="219" t="str">
        <f>IF(B1120&lt;&gt;"",IF(AND(B1120&gt;=_TM1,B1120&lt;=_TM2,OR(TH!L1120="1111",TH!M1120="1111")),TH!D1120,""),"")</f>
        <v/>
      </c>
      <c r="B1120" s="36">
        <f t="shared" si="48"/>
        <v>5</v>
      </c>
      <c r="C1120" s="205">
        <f t="shared" si="47"/>
        <v>41047</v>
      </c>
      <c r="D1120" s="205"/>
      <c r="E1120" s="205">
        <v>41047</v>
      </c>
      <c r="F1120" s="331" t="s">
        <v>1324</v>
      </c>
      <c r="G1120" s="581" t="s">
        <v>1323</v>
      </c>
      <c r="H1120" s="45" t="s">
        <v>1136</v>
      </c>
      <c r="I1120" s="277">
        <v>97</v>
      </c>
      <c r="J1120" s="277">
        <v>23900</v>
      </c>
      <c r="K1120" s="698">
        <f t="shared" si="49"/>
        <v>2318300</v>
      </c>
      <c r="L1120" s="208" t="s">
        <v>311</v>
      </c>
      <c r="M1120" s="208" t="s">
        <v>208</v>
      </c>
      <c r="N1120" s="55" t="str">
        <f>IF(AND('331-CT'!$E$7=TH!H1120,OR(L1120="331",M1120="331")),"x","")</f>
        <v/>
      </c>
      <c r="O1120" s="55" t="str">
        <f>IF(AND($B1120&gt;='111'!$N$11,$B1120&lt;='111'!$O$11,OR($L1120=$O$7,$M1120=$O$7)),"x","")</f>
        <v/>
      </c>
      <c r="P1120" s="55" t="str">
        <f>IF(AND($L1120=$O$7,$B1120&lt;'111'!$N$11),"x","")</f>
        <v/>
      </c>
      <c r="Q1120" s="55" t="str">
        <f>IF(AND($M1120=$O$7,$B1120&lt;'111'!$N$11),"x","")</f>
        <v/>
      </c>
      <c r="R1120" s="55" t="str">
        <f>IF(ISERROR(FIND('112'!$M$9,G1120,1)),"",IF((AND(FIND('112'!$M$9,G1120,1)&gt;=1,$B1120&gt;='112'!$N$8,$B1120&lt;='112'!$O$8,OR($L1120='112'!$I$6,$M1120='112'!$I$6))),"x",""))</f>
        <v/>
      </c>
      <c r="S1120" s="55" t="str">
        <f>IF(ISERROR(FIND('112'!$M$9,G1120,1)),"",IF((AND(LEFT(G1120,2)=LEFT('112'!$M$9,2),B1120&lt;'112'!$N$8,$L1120='112'!$I$6)),"x",""))</f>
        <v/>
      </c>
      <c r="T1120" s="55" t="str">
        <f>IF(ISERROR(FIND('112'!$M$9,G1120,1)),"",IF((AND(RIGHT(G1120,2)=RIGHT('112'!$M$9,2),B1120&lt;'112'!$N$8,$M1120='112'!$I$6)),"x",""))</f>
        <v/>
      </c>
      <c r="U1120" s="55" t="str">
        <f>IF(AND('3411-CT'!$F$9=H1120,OR(LEFT(L1120,3)=$U$7,LEFT(M1120,3)=$U$7)),"x","")</f>
        <v/>
      </c>
      <c r="V1120" s="55" t="str">
        <f>IF(OR(TH!L1120=TH!$V$7,M1120=TH!$V$7),"x","")</f>
        <v/>
      </c>
      <c r="W1120" s="55" t="str">
        <f>IF(AND(OR(L1120="131",M1120="131"),H1120='131-CT'!$E$7),"x","")</f>
        <v/>
      </c>
      <c r="X1120" s="55" t="str">
        <f>IF(AND(B1120&gt;='IN-NX'!$P$3,B1120&lt;='IN-NX'!$Q$3,'IN-NX'!$D$7=D1120,OR(LEFT(TH!L1120,2)="15",LEFT(TH!M1120,2)="15")),"x","")</f>
        <v/>
      </c>
      <c r="Y1120" s="55" t="str">
        <f>IF(AND(OR(LEFT(TH!L1120,2)="15",LEFT(TH!M1120,2)="15"),'152-CT'!$J$8=TH!F1120),"x","")</f>
        <v/>
      </c>
      <c r="Z1120" s="55" t="str">
        <f>IF(AND(OR(LEFT(TH!L1120,2)="15",LEFT(TH!M1120,2)="15"),TK!$E$7=TH!F1120),"x","")</f>
        <v/>
      </c>
      <c r="AA1120" s="55" t="str">
        <f>IF(AND(B1120&lt;=NKC!$N$8,B1120&gt;=NKC!$M$8),"x","")</f>
        <v>x</v>
      </c>
    </row>
    <row r="1121" spans="1:29" ht="15.75" customHeight="1">
      <c r="A1121" s="219" t="str">
        <f>IF(B1121&lt;&gt;"",IF(AND(B1121&gt;=_TM1,B1121&lt;=_TM2,OR(TH!L1121="1111",TH!M1121="1111")),TH!D1121,""),"")</f>
        <v/>
      </c>
      <c r="B1121" s="36">
        <f t="shared" si="48"/>
        <v>5</v>
      </c>
      <c r="C1121" s="205">
        <f t="shared" si="47"/>
        <v>41047</v>
      </c>
      <c r="D1121" s="205"/>
      <c r="E1121" s="205">
        <v>41047</v>
      </c>
      <c r="F1121" s="206" t="s">
        <v>1185</v>
      </c>
      <c r="G1121" s="581" t="s">
        <v>1323</v>
      </c>
      <c r="H1121" s="45" t="s">
        <v>1136</v>
      </c>
      <c r="I1121" s="277"/>
      <c r="J1121" s="277"/>
      <c r="K1121" s="698">
        <v>770830</v>
      </c>
      <c r="L1121" s="208" t="s">
        <v>311</v>
      </c>
      <c r="M1121" s="208" t="s">
        <v>549</v>
      </c>
      <c r="N1121" s="55" t="str">
        <f>IF(AND('331-CT'!$E$7=TH!H1121,OR(L1121="331",M1121="331")),"x","")</f>
        <v/>
      </c>
      <c r="O1121" s="55" t="str">
        <f>IF(AND($B1121&gt;='111'!$N$11,$B1121&lt;='111'!$O$11,OR($L1121=$O$7,$M1121=$O$7)),"x","")</f>
        <v/>
      </c>
      <c r="P1121" s="55" t="str">
        <f>IF(AND($L1121=$O$7,$B1121&lt;'111'!$N$11),"x","")</f>
        <v/>
      </c>
      <c r="Q1121" s="55" t="str">
        <f>IF(AND($M1121=$O$7,$B1121&lt;'111'!$N$11),"x","")</f>
        <v/>
      </c>
      <c r="R1121" s="55" t="str">
        <f>IF(ISERROR(FIND('112'!$M$9,G1121,1)),"",IF((AND(FIND('112'!$M$9,G1121,1)&gt;=1,$B1121&gt;='112'!$N$8,$B1121&lt;='112'!$O$8,OR($L1121='112'!$I$6,$M1121='112'!$I$6))),"x",""))</f>
        <v/>
      </c>
      <c r="S1121" s="55" t="str">
        <f>IF(ISERROR(FIND('112'!$M$9,G1121,1)),"",IF((AND(LEFT(G1121,2)=LEFT('112'!$M$9,2),B1121&lt;'112'!$N$8,$L1121='112'!$I$6)),"x",""))</f>
        <v/>
      </c>
      <c r="T1121" s="55" t="str">
        <f>IF(ISERROR(FIND('112'!$M$9,G1121,1)),"",IF((AND(RIGHT(G1121,2)=RIGHT('112'!$M$9,2),B1121&lt;'112'!$N$8,$M1121='112'!$I$6)),"x",""))</f>
        <v/>
      </c>
      <c r="U1121" s="55" t="str">
        <f>IF(AND('3411-CT'!$F$9=H1121,OR(LEFT(L1121,3)=$U$7,LEFT(M1121,3)=$U$7)),"x","")</f>
        <v/>
      </c>
      <c r="V1121" s="55" t="str">
        <f>IF(OR(TH!L1121=TH!$V$7,M1121=TH!$V$7),"x","")</f>
        <v/>
      </c>
      <c r="W1121" s="55" t="str">
        <f>IF(AND(OR(L1121="131",M1121="131"),H1121='131-CT'!$E$7),"x","")</f>
        <v/>
      </c>
      <c r="X1121" s="55" t="str">
        <f>IF(AND(B1121&gt;='IN-NX'!$P$3,B1121&lt;='IN-NX'!$Q$3,'IN-NX'!$D$7=D1121,OR(LEFT(TH!L1121,2)="15",LEFT(TH!M1121,2)="15")),"x","")</f>
        <v/>
      </c>
      <c r="Y1121" s="55" t="str">
        <f>IF(AND(OR(LEFT(TH!L1121,2)="15",LEFT(TH!M1121,2)="15"),'152-CT'!$J$8=TH!F1121),"x","")</f>
        <v/>
      </c>
      <c r="Z1121" s="55" t="str">
        <f>IF(AND(OR(LEFT(TH!L1121,2)="15",LEFT(TH!M1121,2)="15"),TK!$E$7=TH!F1121),"x","")</f>
        <v/>
      </c>
      <c r="AA1121" s="55" t="str">
        <f>IF(AND(B1121&lt;=NKC!$N$8,B1121&gt;=NKC!$M$8),"x","")</f>
        <v>x</v>
      </c>
      <c r="AC1121" s="226"/>
    </row>
    <row r="1122" spans="1:29" ht="15.75" customHeight="1">
      <c r="A1122" s="219" t="str">
        <f>IF(B1122&lt;&gt;"",IF(AND(B1122&gt;=_TM1,B1122&lt;=_TM2,OR(TH!L1122="1111",TH!M1122="1111")),TH!D1122,""),"")</f>
        <v/>
      </c>
      <c r="B1122" s="36">
        <f t="shared" si="48"/>
        <v>5</v>
      </c>
      <c r="C1122" s="205">
        <f t="shared" si="47"/>
        <v>41047</v>
      </c>
      <c r="D1122" s="205"/>
      <c r="E1122" s="205">
        <v>41047</v>
      </c>
      <c r="F1122" s="331" t="s">
        <v>1325</v>
      </c>
      <c r="G1122" s="581" t="s">
        <v>1326</v>
      </c>
      <c r="H1122" s="7" t="s">
        <v>1327</v>
      </c>
      <c r="I1122" s="277">
        <v>100</v>
      </c>
      <c r="J1122" s="277">
        <v>11210</v>
      </c>
      <c r="K1122" s="698">
        <f t="shared" si="49"/>
        <v>1121000</v>
      </c>
      <c r="L1122" s="208" t="s">
        <v>49</v>
      </c>
      <c r="M1122" s="208" t="s">
        <v>208</v>
      </c>
      <c r="N1122" s="55" t="str">
        <f>IF(AND('331-CT'!$E$7=TH!H1122,OR(L1122="331",M1122="331")),"x","")</f>
        <v/>
      </c>
      <c r="O1122" s="55" t="str">
        <f>IF(AND($B1122&gt;='111'!$N$11,$B1122&lt;='111'!$O$11,OR($L1122=$O$7,$M1122=$O$7)),"x","")</f>
        <v/>
      </c>
      <c r="P1122" s="55" t="str">
        <f>IF(AND($L1122=$O$7,$B1122&lt;'111'!$N$11),"x","")</f>
        <v>x</v>
      </c>
      <c r="Q1122" s="55" t="str">
        <f>IF(AND($M1122=$O$7,$B1122&lt;'111'!$N$11),"x","")</f>
        <v/>
      </c>
      <c r="R1122" s="55" t="str">
        <f>IF(ISERROR(FIND('112'!$M$9,G1122,1)),"",IF((AND(FIND('112'!$M$9,G1122,1)&gt;=1,$B1122&gt;='112'!$N$8,$B1122&lt;='112'!$O$8,OR($L1122='112'!$I$6,$M1122='112'!$I$6))),"x",""))</f>
        <v/>
      </c>
      <c r="S1122" s="55" t="str">
        <f>IF(ISERROR(FIND('112'!$M$9,G1122,1)),"",IF((AND(LEFT(G1122,2)=LEFT('112'!$M$9,2),B1122&lt;'112'!$N$8,$L1122='112'!$I$6)),"x",""))</f>
        <v/>
      </c>
      <c r="T1122" s="55" t="str">
        <f>IF(ISERROR(FIND('112'!$M$9,G1122,1)),"",IF((AND(RIGHT(G1122,2)=RIGHT('112'!$M$9,2),B1122&lt;'112'!$N$8,$M1122='112'!$I$6)),"x",""))</f>
        <v/>
      </c>
      <c r="U1122" s="55" t="str">
        <f>IF(AND('3411-CT'!$F$9=H1122,OR(LEFT(L1122,3)=$U$7,LEFT(M1122,3)=$U$7)),"x","")</f>
        <v/>
      </c>
      <c r="V1122" s="55" t="str">
        <f>IF(OR(TH!L1122=TH!$V$7,M1122=TH!$V$7),"x","")</f>
        <v/>
      </c>
      <c r="W1122" s="55" t="str">
        <f>IF(AND(OR(L1122="131",M1122="131"),H1122='131-CT'!$E$7),"x","")</f>
        <v/>
      </c>
      <c r="X1122" s="55" t="str">
        <f>IF(AND(B1122&gt;='IN-NX'!$P$3,B1122&lt;='IN-NX'!$Q$3,'IN-NX'!$D$7=D1122,OR(LEFT(TH!L1122,2)="15",LEFT(TH!M1122,2)="15")),"x","")</f>
        <v/>
      </c>
      <c r="Y1122" s="55" t="str">
        <f>IF(AND(OR(LEFT(TH!L1122,2)="15",LEFT(TH!M1122,2)="15"),'152-CT'!$J$8=TH!F1122),"x","")</f>
        <v/>
      </c>
      <c r="Z1122" s="55" t="str">
        <f>IF(AND(OR(LEFT(TH!L1122,2)="15",LEFT(TH!M1122,2)="15"),TK!$E$7=TH!F1122),"x","")</f>
        <v/>
      </c>
      <c r="AA1122" s="55" t="str">
        <f>IF(AND(B1122&lt;=NKC!$N$8,B1122&gt;=NKC!$M$8),"x","")</f>
        <v>x</v>
      </c>
    </row>
    <row r="1123" spans="1:29" ht="15.75" customHeight="1">
      <c r="A1123" s="219" t="str">
        <f>IF(B1123&lt;&gt;"",IF(AND(B1123&gt;=_TM1,B1123&lt;=_TM2,OR(TH!L1123="1111",TH!M1123="1111")),TH!D1123,""),"")</f>
        <v/>
      </c>
      <c r="B1123" s="36">
        <f t="shared" si="48"/>
        <v>5</v>
      </c>
      <c r="C1123" s="205">
        <f t="shared" si="47"/>
        <v>41047</v>
      </c>
      <c r="D1123" s="205"/>
      <c r="E1123" s="205">
        <v>41047</v>
      </c>
      <c r="F1123" s="331" t="s">
        <v>1328</v>
      </c>
      <c r="G1123" s="581" t="s">
        <v>1326</v>
      </c>
      <c r="H1123" s="7" t="s">
        <v>1327</v>
      </c>
      <c r="I1123" s="277">
        <v>230</v>
      </c>
      <c r="J1123" s="277">
        <v>9070</v>
      </c>
      <c r="K1123" s="698">
        <f t="shared" si="49"/>
        <v>2086100</v>
      </c>
      <c r="L1123" s="208" t="s">
        <v>49</v>
      </c>
      <c r="M1123" s="208" t="s">
        <v>208</v>
      </c>
      <c r="N1123" s="55" t="str">
        <f>IF(AND('331-CT'!$E$7=TH!H1123,OR(L1123="331",M1123="331")),"x","")</f>
        <v/>
      </c>
      <c r="O1123" s="55" t="str">
        <f>IF(AND($B1123&gt;='111'!$N$11,$B1123&lt;='111'!$O$11,OR($L1123=$O$7,$M1123=$O$7)),"x","")</f>
        <v/>
      </c>
      <c r="P1123" s="55" t="str">
        <f>IF(AND($L1123=$O$7,$B1123&lt;'111'!$N$11),"x","")</f>
        <v>x</v>
      </c>
      <c r="Q1123" s="55" t="str">
        <f>IF(AND($M1123=$O$7,$B1123&lt;'111'!$N$11),"x","")</f>
        <v/>
      </c>
      <c r="R1123" s="55" t="str">
        <f>IF(ISERROR(FIND('112'!$M$9,G1123,1)),"",IF((AND(FIND('112'!$M$9,G1123,1)&gt;=1,$B1123&gt;='112'!$N$8,$B1123&lt;='112'!$O$8,OR($L1123='112'!$I$6,$M1123='112'!$I$6))),"x",""))</f>
        <v/>
      </c>
      <c r="S1123" s="55" t="str">
        <f>IF(ISERROR(FIND('112'!$M$9,G1123,1)),"",IF((AND(LEFT(G1123,2)=LEFT('112'!$M$9,2),B1123&lt;'112'!$N$8,$L1123='112'!$I$6)),"x",""))</f>
        <v/>
      </c>
      <c r="T1123" s="55" t="str">
        <f>IF(ISERROR(FIND('112'!$M$9,G1123,1)),"",IF((AND(RIGHT(G1123,2)=RIGHT('112'!$M$9,2),B1123&lt;'112'!$N$8,$M1123='112'!$I$6)),"x",""))</f>
        <v/>
      </c>
      <c r="U1123" s="55" t="str">
        <f>IF(AND('3411-CT'!$F$9=H1123,OR(LEFT(L1123,3)=$U$7,LEFT(M1123,3)=$U$7)),"x","")</f>
        <v/>
      </c>
      <c r="V1123" s="55" t="str">
        <f>IF(OR(TH!L1123=TH!$V$7,M1123=TH!$V$7),"x","")</f>
        <v/>
      </c>
      <c r="W1123" s="55" t="str">
        <f>IF(AND(OR(L1123="131",M1123="131"),H1123='131-CT'!$E$7),"x","")</f>
        <v/>
      </c>
      <c r="X1123" s="55" t="str">
        <f>IF(AND(B1123&gt;='IN-NX'!$P$3,B1123&lt;='IN-NX'!$Q$3,'IN-NX'!$D$7=D1123,OR(LEFT(TH!L1123,2)="15",LEFT(TH!M1123,2)="15")),"x","")</f>
        <v/>
      </c>
      <c r="Y1123" s="55" t="str">
        <f>IF(AND(OR(LEFT(TH!L1123,2)="15",LEFT(TH!M1123,2)="15"),'152-CT'!$J$8=TH!F1123),"x","")</f>
        <v/>
      </c>
      <c r="Z1123" s="55" t="str">
        <f>IF(AND(OR(LEFT(TH!L1123,2)="15",LEFT(TH!M1123,2)="15"),TK!$E$7=TH!F1123),"x","")</f>
        <v/>
      </c>
      <c r="AA1123" s="55" t="str">
        <f>IF(AND(B1123&lt;=NKC!$N$8,B1123&gt;=NKC!$M$8),"x","")</f>
        <v>x</v>
      </c>
    </row>
    <row r="1124" spans="1:29" s="226" customFormat="1" ht="15.75" customHeight="1">
      <c r="A1124" s="219" t="str">
        <f>IF(B1124&lt;&gt;"",IF(AND(B1124&gt;=_TM1,B1124&lt;=_TM2,OR(TH!L1124="1111",TH!M1124="1111")),TH!D1124,""),"")</f>
        <v/>
      </c>
      <c r="B1124" s="36">
        <f t="shared" si="39"/>
        <v>5</v>
      </c>
      <c r="C1124" s="205">
        <f t="shared" si="47"/>
        <v>41047</v>
      </c>
      <c r="D1124" s="205"/>
      <c r="E1124" s="205">
        <v>41047</v>
      </c>
      <c r="F1124" s="331" t="s">
        <v>1329</v>
      </c>
      <c r="G1124" s="581" t="s">
        <v>1326</v>
      </c>
      <c r="H1124" s="7" t="s">
        <v>1327</v>
      </c>
      <c r="I1124" s="277">
        <v>328</v>
      </c>
      <c r="J1124" s="277">
        <v>12650</v>
      </c>
      <c r="K1124" s="698">
        <f t="shared" si="49"/>
        <v>4149200</v>
      </c>
      <c r="L1124" s="208" t="s">
        <v>49</v>
      </c>
      <c r="M1124" s="208" t="s">
        <v>208</v>
      </c>
      <c r="N1124" s="55" t="str">
        <f>IF(AND('331-CT'!$E$7=TH!H1124,OR(L1124="331",M1124="331")),"x","")</f>
        <v/>
      </c>
      <c r="O1124" s="55" t="str">
        <f>IF(AND($B1124&gt;='111'!$N$11,$B1124&lt;='111'!$O$11,OR($L1124=$O$7,$M1124=$O$7)),"x","")</f>
        <v/>
      </c>
      <c r="P1124" s="55" t="str">
        <f>IF(AND($L1124=$O$7,$B1124&lt;'111'!$N$11),"x","")</f>
        <v>x</v>
      </c>
      <c r="Q1124" s="55" t="str">
        <f>IF(AND($M1124=$O$7,$B1124&lt;'111'!$N$11),"x","")</f>
        <v/>
      </c>
      <c r="R1124" s="55" t="str">
        <f>IF(ISERROR(FIND('112'!$M$9,G1124,1)),"",IF((AND(FIND('112'!$M$9,G1124,1)&gt;=1,$B1124&gt;='112'!$N$8,$B1124&lt;='112'!$O$8,OR($L1124='112'!$I$6,$M1124='112'!$I$6))),"x",""))</f>
        <v/>
      </c>
      <c r="S1124" s="55" t="str">
        <f>IF(ISERROR(FIND('112'!$M$9,G1124,1)),"",IF((AND(LEFT(G1124,2)=LEFT('112'!$M$9,2),B1124&lt;'112'!$N$8,$L1124='112'!$I$6)),"x",""))</f>
        <v/>
      </c>
      <c r="T1124" s="55" t="str">
        <f>IF(ISERROR(FIND('112'!$M$9,G1124,1)),"",IF((AND(RIGHT(G1124,2)=RIGHT('112'!$M$9,2),B1124&lt;'112'!$N$8,$M1124='112'!$I$6)),"x",""))</f>
        <v/>
      </c>
      <c r="U1124" s="55" t="str">
        <f>IF(AND('3411-CT'!$F$9=H1124,OR(LEFT(L1124,3)=$U$7,LEFT(M1124,3)=$U$7)),"x","")</f>
        <v/>
      </c>
      <c r="V1124" s="55" t="str">
        <f>IF(OR(TH!L1124=TH!$V$7,M1124=TH!$V$7),"x","")</f>
        <v/>
      </c>
      <c r="W1124" s="55" t="str">
        <f>IF(AND(OR(L1124="131",M1124="131"),H1124='131-CT'!$E$7),"x","")</f>
        <v/>
      </c>
      <c r="X1124" s="55" t="str">
        <f>IF(AND(B1124&gt;='IN-NX'!$P$3,B1124&lt;='IN-NX'!$Q$3,'IN-NX'!$D$7=D1124,OR(LEFT(TH!L1124,2)="15",LEFT(TH!M1124,2)="15")),"x","")</f>
        <v/>
      </c>
      <c r="Y1124" s="55" t="str">
        <f>IF(AND(OR(LEFT(TH!L1124,2)="15",LEFT(TH!M1124,2)="15"),'152-CT'!$J$8=TH!F1124),"x","")</f>
        <v/>
      </c>
      <c r="Z1124" s="55" t="str">
        <f>IF(AND(OR(LEFT(TH!L1124,2)="15",LEFT(TH!M1124,2)="15"),TK!$E$7=TH!F1124),"x","")</f>
        <v/>
      </c>
      <c r="AA1124" s="55" t="str">
        <f>IF(AND(B1124&lt;=NKC!$N$8,B1124&gt;=NKC!$M$8),"x","")</f>
        <v>x</v>
      </c>
    </row>
    <row r="1125" spans="1:29" s="226" customFormat="1" ht="15.75" customHeight="1">
      <c r="A1125" s="219" t="str">
        <f>IF(B1125&lt;&gt;"",IF(AND(B1125&gt;=_TM1,B1125&lt;=_TM2,OR(TH!L1125="1111",TH!M1125="1111")),TH!D1125,""),"")</f>
        <v/>
      </c>
      <c r="B1125" s="36">
        <f t="shared" si="39"/>
        <v>5</v>
      </c>
      <c r="C1125" s="205">
        <f t="shared" si="47"/>
        <v>41047</v>
      </c>
      <c r="D1125" s="205"/>
      <c r="E1125" s="205">
        <v>41047</v>
      </c>
      <c r="F1125" s="331" t="s">
        <v>1329</v>
      </c>
      <c r="G1125" s="581" t="s">
        <v>1326</v>
      </c>
      <c r="H1125" s="7" t="s">
        <v>1327</v>
      </c>
      <c r="I1125" s="277">
        <v>505</v>
      </c>
      <c r="J1125" s="277">
        <v>15600</v>
      </c>
      <c r="K1125" s="698">
        <f t="shared" si="49"/>
        <v>7878000</v>
      </c>
      <c r="L1125" s="208" t="s">
        <v>49</v>
      </c>
      <c r="M1125" s="208" t="s">
        <v>208</v>
      </c>
      <c r="N1125" s="55" t="str">
        <f>IF(AND('331-CT'!$E$7=TH!H1125,OR(L1125="331",M1125="331")),"x","")</f>
        <v/>
      </c>
      <c r="O1125" s="55" t="str">
        <f>IF(AND($B1125&gt;='111'!$N$11,$B1125&lt;='111'!$O$11,OR($L1125=$O$7,$M1125=$O$7)),"x","")</f>
        <v/>
      </c>
      <c r="P1125" s="55" t="str">
        <f>IF(AND($L1125=$O$7,$B1125&lt;'111'!$N$11),"x","")</f>
        <v>x</v>
      </c>
      <c r="Q1125" s="55" t="str">
        <f>IF(AND($M1125=$O$7,$B1125&lt;'111'!$N$11),"x","")</f>
        <v/>
      </c>
      <c r="R1125" s="55" t="str">
        <f>IF(ISERROR(FIND('112'!$M$9,G1125,1)),"",IF((AND(FIND('112'!$M$9,G1125,1)&gt;=1,$B1125&gt;='112'!$N$8,$B1125&lt;='112'!$O$8,OR($L1125='112'!$I$6,$M1125='112'!$I$6))),"x",""))</f>
        <v/>
      </c>
      <c r="S1125" s="55" t="str">
        <f>IF(ISERROR(FIND('112'!$M$9,G1125,1)),"",IF((AND(LEFT(G1125,2)=LEFT('112'!$M$9,2),B1125&lt;'112'!$N$8,$L1125='112'!$I$6)),"x",""))</f>
        <v/>
      </c>
      <c r="T1125" s="55" t="str">
        <f>IF(ISERROR(FIND('112'!$M$9,G1125,1)),"",IF((AND(RIGHT(G1125,2)=RIGHT('112'!$M$9,2),B1125&lt;'112'!$N$8,$M1125='112'!$I$6)),"x",""))</f>
        <v/>
      </c>
      <c r="U1125" s="55" t="str">
        <f>IF(AND('3411-CT'!$F$9=H1125,OR(LEFT(L1125,3)=$U$7,LEFT(M1125,3)=$U$7)),"x","")</f>
        <v/>
      </c>
      <c r="V1125" s="55" t="str">
        <f>IF(OR(TH!L1125=TH!$V$7,M1125=TH!$V$7),"x","")</f>
        <v/>
      </c>
      <c r="W1125" s="55" t="str">
        <f>IF(AND(OR(L1125="131",M1125="131"),H1125='131-CT'!$E$7),"x","")</f>
        <v/>
      </c>
      <c r="X1125" s="55" t="str">
        <f>IF(AND(B1125&gt;='IN-NX'!$P$3,B1125&lt;='IN-NX'!$Q$3,'IN-NX'!$D$7=D1125,OR(LEFT(TH!L1125,2)="15",LEFT(TH!M1125,2)="15")),"x","")</f>
        <v/>
      </c>
      <c r="Y1125" s="55" t="str">
        <f>IF(AND(OR(LEFT(TH!L1125,2)="15",LEFT(TH!M1125,2)="15"),'152-CT'!$J$8=TH!F1125),"x","")</f>
        <v/>
      </c>
      <c r="Z1125" s="55" t="str">
        <f>IF(AND(OR(LEFT(TH!L1125,2)="15",LEFT(TH!M1125,2)="15"),TK!$E$7=TH!F1125),"x","")</f>
        <v/>
      </c>
      <c r="AA1125" s="55" t="str">
        <f>IF(AND(B1125&lt;=NKC!$N$8,B1125&gt;=NKC!$M$8),"x","")</f>
        <v>x</v>
      </c>
    </row>
    <row r="1126" spans="1:29" s="226" customFormat="1" ht="15.75" customHeight="1">
      <c r="A1126" s="219" t="str">
        <f>IF(B1126&lt;&gt;"",IF(AND(B1126&gt;=_TM1,B1126&lt;=_TM2,OR(TH!L1126="1111",TH!M1126="1111")),TH!D1126,""),"")</f>
        <v/>
      </c>
      <c r="B1126" s="36">
        <f t="shared" si="39"/>
        <v>5</v>
      </c>
      <c r="C1126" s="205">
        <f t="shared" si="47"/>
        <v>41047</v>
      </c>
      <c r="D1126" s="205"/>
      <c r="E1126" s="205">
        <v>41047</v>
      </c>
      <c r="F1126" s="206" t="s">
        <v>1185</v>
      </c>
      <c r="G1126" s="581" t="s">
        <v>1326</v>
      </c>
      <c r="H1126" s="7" t="s">
        <v>1327</v>
      </c>
      <c r="I1126" s="277"/>
      <c r="J1126" s="277"/>
      <c r="K1126" s="698">
        <v>1523430</v>
      </c>
      <c r="L1126" s="208" t="s">
        <v>49</v>
      </c>
      <c r="M1126" s="208" t="s">
        <v>549</v>
      </c>
      <c r="N1126" s="55" t="str">
        <f>IF(AND('331-CT'!$E$7=TH!H1126,OR(L1126="331",M1126="331")),"x","")</f>
        <v/>
      </c>
      <c r="O1126" s="55" t="str">
        <f>IF(AND($B1126&gt;='111'!$N$11,$B1126&lt;='111'!$O$11,OR($L1126=$O$7,$M1126=$O$7)),"x","")</f>
        <v/>
      </c>
      <c r="P1126" s="55" t="str">
        <f>IF(AND($L1126=$O$7,$B1126&lt;'111'!$N$11),"x","")</f>
        <v>x</v>
      </c>
      <c r="Q1126" s="55" t="str">
        <f>IF(AND($M1126=$O$7,$B1126&lt;'111'!$N$11),"x","")</f>
        <v/>
      </c>
      <c r="R1126" s="55" t="str">
        <f>IF(ISERROR(FIND('112'!$M$9,G1126,1)),"",IF((AND(FIND('112'!$M$9,G1126,1)&gt;=1,$B1126&gt;='112'!$N$8,$B1126&lt;='112'!$O$8,OR($L1126='112'!$I$6,$M1126='112'!$I$6))),"x",""))</f>
        <v/>
      </c>
      <c r="S1126" s="55" t="str">
        <f>IF(ISERROR(FIND('112'!$M$9,G1126,1)),"",IF((AND(LEFT(G1126,2)=LEFT('112'!$M$9,2),B1126&lt;'112'!$N$8,$L1126='112'!$I$6)),"x",""))</f>
        <v/>
      </c>
      <c r="T1126" s="55" t="str">
        <f>IF(ISERROR(FIND('112'!$M$9,G1126,1)),"",IF((AND(RIGHT(G1126,2)=RIGHT('112'!$M$9,2),B1126&lt;'112'!$N$8,$M1126='112'!$I$6)),"x",""))</f>
        <v/>
      </c>
      <c r="U1126" s="55" t="str">
        <f>IF(AND('3411-CT'!$F$9=H1126,OR(LEFT(L1126,3)=$U$7,LEFT(M1126,3)=$U$7)),"x","")</f>
        <v/>
      </c>
      <c r="V1126" s="55" t="str">
        <f>IF(OR(TH!L1126=TH!$V$7,M1126=TH!$V$7),"x","")</f>
        <v/>
      </c>
      <c r="W1126" s="55" t="str">
        <f>IF(AND(OR(L1126="131",M1126="131"),H1126='131-CT'!$E$7),"x","")</f>
        <v/>
      </c>
      <c r="X1126" s="55" t="str">
        <f>IF(AND(B1126&gt;='IN-NX'!$P$3,B1126&lt;='IN-NX'!$Q$3,'IN-NX'!$D$7=D1126,OR(LEFT(TH!L1126,2)="15",LEFT(TH!M1126,2)="15")),"x","")</f>
        <v/>
      </c>
      <c r="Y1126" s="55" t="str">
        <f>IF(AND(OR(LEFT(TH!L1126,2)="15",LEFT(TH!M1126,2)="15"),'152-CT'!$J$8=TH!F1126),"x","")</f>
        <v/>
      </c>
      <c r="Z1126" s="55" t="str">
        <f>IF(AND(OR(LEFT(TH!L1126,2)="15",LEFT(TH!M1126,2)="15"),TK!$E$7=TH!F1126),"x","")</f>
        <v/>
      </c>
      <c r="AA1126" s="55" t="str">
        <f>IF(AND(B1126&lt;=NKC!$N$8,B1126&gt;=NKC!$M$8),"x","")</f>
        <v>x</v>
      </c>
    </row>
    <row r="1127" spans="1:29" s="226" customFormat="1" ht="15.75" customHeight="1">
      <c r="A1127" s="219" t="str">
        <f>IF(B1127&lt;&gt;"",IF(AND(B1127&gt;=_TM1,B1127&lt;=_TM2,OR(TH!L1127="1111",TH!M1127="1111")),TH!D1127,""),"")</f>
        <v/>
      </c>
      <c r="B1127" s="36">
        <f t="shared" si="39"/>
        <v>5</v>
      </c>
      <c r="C1127" s="205">
        <f t="shared" si="47"/>
        <v>41051</v>
      </c>
      <c r="D1127" s="205"/>
      <c r="E1127" s="205">
        <v>41051</v>
      </c>
      <c r="F1127" s="331" t="s">
        <v>1330</v>
      </c>
      <c r="G1127" s="581" t="s">
        <v>1331</v>
      </c>
      <c r="H1127" s="7" t="s">
        <v>1327</v>
      </c>
      <c r="I1127" s="277">
        <v>327</v>
      </c>
      <c r="J1127" s="277">
        <v>3530</v>
      </c>
      <c r="K1127" s="698">
        <f t="shared" si="49"/>
        <v>1154310</v>
      </c>
      <c r="L1127" s="208" t="s">
        <v>49</v>
      </c>
      <c r="M1127" s="208" t="s">
        <v>208</v>
      </c>
      <c r="N1127" s="55" t="str">
        <f>IF(AND('331-CT'!$E$7=TH!H1127,OR(L1127="331",M1127="331")),"x","")</f>
        <v/>
      </c>
      <c r="O1127" s="55" t="str">
        <f>IF(AND($B1127&gt;='111'!$N$11,$B1127&lt;='111'!$O$11,OR($L1127=$O$7,$M1127=$O$7)),"x","")</f>
        <v/>
      </c>
      <c r="P1127" s="55" t="str">
        <f>IF(AND($L1127=$O$7,$B1127&lt;'111'!$N$11),"x","")</f>
        <v>x</v>
      </c>
      <c r="Q1127" s="55" t="str">
        <f>IF(AND($M1127=$O$7,$B1127&lt;'111'!$N$11),"x","")</f>
        <v/>
      </c>
      <c r="R1127" s="55" t="str">
        <f>IF(ISERROR(FIND('112'!$M$9,G1127,1)),"",IF((AND(FIND('112'!$M$9,G1127,1)&gt;=1,$B1127&gt;='112'!$N$8,$B1127&lt;='112'!$O$8,OR($L1127='112'!$I$6,$M1127='112'!$I$6))),"x",""))</f>
        <v/>
      </c>
      <c r="S1127" s="55" t="str">
        <f>IF(ISERROR(FIND('112'!$M$9,G1127,1)),"",IF((AND(LEFT(G1127,2)=LEFT('112'!$M$9,2),B1127&lt;'112'!$N$8,$L1127='112'!$I$6)),"x",""))</f>
        <v/>
      </c>
      <c r="T1127" s="55" t="str">
        <f>IF(ISERROR(FIND('112'!$M$9,G1127,1)),"",IF((AND(RIGHT(G1127,2)=RIGHT('112'!$M$9,2),B1127&lt;'112'!$N$8,$M1127='112'!$I$6)),"x",""))</f>
        <v/>
      </c>
      <c r="U1127" s="55" t="str">
        <f>IF(AND('3411-CT'!$F$9=H1127,OR(LEFT(L1127,3)=$U$7,LEFT(M1127,3)=$U$7)),"x","")</f>
        <v/>
      </c>
      <c r="V1127" s="55" t="str">
        <f>IF(OR(TH!L1127=TH!$V$7,M1127=TH!$V$7),"x","")</f>
        <v/>
      </c>
      <c r="W1127" s="55" t="str">
        <f>IF(AND(OR(L1127="131",M1127="131"),H1127='131-CT'!$E$7),"x","")</f>
        <v/>
      </c>
      <c r="X1127" s="55" t="str">
        <f>IF(AND(B1127&gt;='IN-NX'!$P$3,B1127&lt;='IN-NX'!$Q$3,'IN-NX'!$D$7=D1127,OR(LEFT(TH!L1127,2)="15",LEFT(TH!M1127,2)="15")),"x","")</f>
        <v/>
      </c>
      <c r="Y1127" s="55" t="str">
        <f>IF(AND(OR(LEFT(TH!L1127,2)="15",LEFT(TH!M1127,2)="15"),'152-CT'!$J$8=TH!F1127),"x","")</f>
        <v/>
      </c>
      <c r="Z1127" s="55" t="str">
        <f>IF(AND(OR(LEFT(TH!L1127,2)="15",LEFT(TH!M1127,2)="15"),TK!$E$7=TH!F1127),"x","")</f>
        <v/>
      </c>
      <c r="AA1127" s="55" t="str">
        <f>IF(AND(B1127&lt;=NKC!$N$8,B1127&gt;=NKC!$M$8),"x","")</f>
        <v>x</v>
      </c>
    </row>
    <row r="1128" spans="1:29" s="226" customFormat="1" ht="15.75" customHeight="1">
      <c r="A1128" s="219" t="str">
        <f>IF(B1128&lt;&gt;"",IF(AND(B1128&gt;=_TM1,B1128&lt;=_TM2,OR(TH!L1128="1111",TH!M1128="1111")),TH!D1128,""),"")</f>
        <v/>
      </c>
      <c r="B1128" s="36">
        <f t="shared" si="39"/>
        <v>5</v>
      </c>
      <c r="C1128" s="205">
        <f t="shared" si="47"/>
        <v>41051</v>
      </c>
      <c r="D1128" s="205"/>
      <c r="E1128" s="205">
        <v>41051</v>
      </c>
      <c r="F1128" s="331" t="s">
        <v>1332</v>
      </c>
      <c r="G1128" s="581" t="s">
        <v>1331</v>
      </c>
      <c r="H1128" s="7" t="s">
        <v>1327</v>
      </c>
      <c r="I1128" s="277">
        <v>317</v>
      </c>
      <c r="J1128" s="277">
        <v>5970</v>
      </c>
      <c r="K1128" s="698">
        <f t="shared" si="49"/>
        <v>1892490</v>
      </c>
      <c r="L1128" s="208" t="s">
        <v>49</v>
      </c>
      <c r="M1128" s="208" t="s">
        <v>208</v>
      </c>
      <c r="N1128" s="55" t="str">
        <f>IF(AND('331-CT'!$E$7=TH!H1128,OR(L1128="331",M1128="331")),"x","")</f>
        <v/>
      </c>
      <c r="O1128" s="55" t="str">
        <f>IF(AND($B1128&gt;='111'!$N$11,$B1128&lt;='111'!$O$11,OR($L1128=$O$7,$M1128=$O$7)),"x","")</f>
        <v/>
      </c>
      <c r="P1128" s="55" t="str">
        <f>IF(AND($L1128=$O$7,$B1128&lt;'111'!$N$11),"x","")</f>
        <v>x</v>
      </c>
      <c r="Q1128" s="55" t="str">
        <f>IF(AND($M1128=$O$7,$B1128&lt;'111'!$N$11),"x","")</f>
        <v/>
      </c>
      <c r="R1128" s="55" t="str">
        <f>IF(ISERROR(FIND('112'!$M$9,G1128,1)),"",IF((AND(FIND('112'!$M$9,G1128,1)&gt;=1,$B1128&gt;='112'!$N$8,$B1128&lt;='112'!$O$8,OR($L1128='112'!$I$6,$M1128='112'!$I$6))),"x",""))</f>
        <v/>
      </c>
      <c r="S1128" s="55" t="str">
        <f>IF(ISERROR(FIND('112'!$M$9,G1128,1)),"",IF((AND(LEFT(G1128,2)=LEFT('112'!$M$9,2),B1128&lt;'112'!$N$8,$L1128='112'!$I$6)),"x",""))</f>
        <v/>
      </c>
      <c r="T1128" s="55" t="str">
        <f>IF(ISERROR(FIND('112'!$M$9,G1128,1)),"",IF((AND(RIGHT(G1128,2)=RIGHT('112'!$M$9,2),B1128&lt;'112'!$N$8,$M1128='112'!$I$6)),"x",""))</f>
        <v/>
      </c>
      <c r="U1128" s="55" t="str">
        <f>IF(AND('3411-CT'!$F$9=H1128,OR(LEFT(L1128,3)=$U$7,LEFT(M1128,3)=$U$7)),"x","")</f>
        <v/>
      </c>
      <c r="V1128" s="55" t="str">
        <f>IF(OR(TH!L1128=TH!$V$7,M1128=TH!$V$7),"x","")</f>
        <v/>
      </c>
      <c r="W1128" s="55" t="str">
        <f>IF(AND(OR(L1128="131",M1128="131"),H1128='131-CT'!$E$7),"x","")</f>
        <v/>
      </c>
      <c r="X1128" s="55" t="str">
        <f>IF(AND(B1128&gt;='IN-NX'!$P$3,B1128&lt;='IN-NX'!$Q$3,'IN-NX'!$D$7=D1128,OR(LEFT(TH!L1128,2)="15",LEFT(TH!M1128,2)="15")),"x","")</f>
        <v/>
      </c>
      <c r="Y1128" s="55" t="str">
        <f>IF(AND(OR(LEFT(TH!L1128,2)="15",LEFT(TH!M1128,2)="15"),'152-CT'!$J$8=TH!F1128),"x","")</f>
        <v/>
      </c>
      <c r="Z1128" s="55" t="str">
        <f>IF(AND(OR(LEFT(TH!L1128,2)="15",LEFT(TH!M1128,2)="15"),TK!$E$7=TH!F1128),"x","")</f>
        <v/>
      </c>
      <c r="AA1128" s="55" t="str">
        <f>IF(AND(B1128&lt;=NKC!$N$8,B1128&gt;=NKC!$M$8),"x","")</f>
        <v>x</v>
      </c>
    </row>
    <row r="1129" spans="1:29" s="226" customFormat="1" ht="15.75" customHeight="1">
      <c r="A1129" s="219" t="str">
        <f>IF(B1129&lt;&gt;"",IF(AND(B1129&gt;=_TM1,B1129&lt;=_TM2,OR(TH!L1129="1111",TH!M1129="1111")),TH!D1129,""),"")</f>
        <v/>
      </c>
      <c r="B1129" s="36">
        <f t="shared" si="39"/>
        <v>5</v>
      </c>
      <c r="C1129" s="205">
        <f t="shared" si="47"/>
        <v>41051</v>
      </c>
      <c r="D1129" s="205"/>
      <c r="E1129" s="205">
        <v>41051</v>
      </c>
      <c r="F1129" s="331" t="s">
        <v>1333</v>
      </c>
      <c r="G1129" s="581" t="s">
        <v>1331</v>
      </c>
      <c r="H1129" s="7" t="s">
        <v>1327</v>
      </c>
      <c r="I1129" s="277">
        <v>2040</v>
      </c>
      <c r="J1129" s="277">
        <v>7400</v>
      </c>
      <c r="K1129" s="698">
        <f t="shared" si="49"/>
        <v>15096000</v>
      </c>
      <c r="L1129" s="208" t="s">
        <v>49</v>
      </c>
      <c r="M1129" s="208" t="s">
        <v>208</v>
      </c>
      <c r="N1129" s="55" t="str">
        <f>IF(AND('331-CT'!$E$7=TH!H1129,OR(L1129="331",M1129="331")),"x","")</f>
        <v/>
      </c>
      <c r="O1129" s="55" t="str">
        <f>IF(AND($B1129&gt;='111'!$N$11,$B1129&lt;='111'!$O$11,OR($L1129=$O$7,$M1129=$O$7)),"x","")</f>
        <v/>
      </c>
      <c r="P1129" s="55" t="str">
        <f>IF(AND($L1129=$O$7,$B1129&lt;'111'!$N$11),"x","")</f>
        <v>x</v>
      </c>
      <c r="Q1129" s="55" t="str">
        <f>IF(AND($M1129=$O$7,$B1129&lt;'111'!$N$11),"x","")</f>
        <v/>
      </c>
      <c r="R1129" s="55" t="str">
        <f>IF(ISERROR(FIND('112'!$M$9,G1129,1)),"",IF((AND(FIND('112'!$M$9,G1129,1)&gt;=1,$B1129&gt;='112'!$N$8,$B1129&lt;='112'!$O$8,OR($L1129='112'!$I$6,$M1129='112'!$I$6))),"x",""))</f>
        <v/>
      </c>
      <c r="S1129" s="55" t="str">
        <f>IF(ISERROR(FIND('112'!$M$9,G1129,1)),"",IF((AND(LEFT(G1129,2)=LEFT('112'!$M$9,2),B1129&lt;'112'!$N$8,$L1129='112'!$I$6)),"x",""))</f>
        <v/>
      </c>
      <c r="T1129" s="55" t="str">
        <f>IF(ISERROR(FIND('112'!$M$9,G1129,1)),"",IF((AND(RIGHT(G1129,2)=RIGHT('112'!$M$9,2),B1129&lt;'112'!$N$8,$M1129='112'!$I$6)),"x",""))</f>
        <v/>
      </c>
      <c r="U1129" s="55" t="str">
        <f>IF(AND('3411-CT'!$F$9=H1129,OR(LEFT(L1129,3)=$U$7,LEFT(M1129,3)=$U$7)),"x","")</f>
        <v/>
      </c>
      <c r="V1129" s="55" t="str">
        <f>IF(OR(TH!L1129=TH!$V$7,M1129=TH!$V$7),"x","")</f>
        <v/>
      </c>
      <c r="W1129" s="55" t="str">
        <f>IF(AND(OR(L1129="131",M1129="131"),H1129='131-CT'!$E$7),"x","")</f>
        <v/>
      </c>
      <c r="X1129" s="55" t="str">
        <f>IF(AND(B1129&gt;='IN-NX'!$P$3,B1129&lt;='IN-NX'!$Q$3,'IN-NX'!$D$7=D1129,OR(LEFT(TH!L1129,2)="15",LEFT(TH!M1129,2)="15")),"x","")</f>
        <v/>
      </c>
      <c r="Y1129" s="55" t="str">
        <f>IF(AND(OR(LEFT(TH!L1129,2)="15",LEFT(TH!M1129,2)="15"),'152-CT'!$J$8=TH!F1129),"x","")</f>
        <v/>
      </c>
      <c r="Z1129" s="55" t="str">
        <f>IF(AND(OR(LEFT(TH!L1129,2)="15",LEFT(TH!M1129,2)="15"),TK!$E$7=TH!F1129),"x","")</f>
        <v/>
      </c>
      <c r="AA1129" s="55" t="str">
        <f>IF(AND(B1129&lt;=NKC!$N$8,B1129&gt;=NKC!$M$8),"x","")</f>
        <v>x</v>
      </c>
    </row>
    <row r="1130" spans="1:29" s="226" customFormat="1" ht="15.75" customHeight="1">
      <c r="A1130" s="219" t="str">
        <f>IF(B1130&lt;&gt;"",IF(AND(B1130&gt;=_TM1,B1130&lt;=_TM2,OR(TH!L1130="1111",TH!M1130="1111")),TH!D1130,""),"")</f>
        <v/>
      </c>
      <c r="B1130" s="36">
        <f t="shared" si="39"/>
        <v>5</v>
      </c>
      <c r="C1130" s="205">
        <f t="shared" si="47"/>
        <v>41051</v>
      </c>
      <c r="D1130" s="893"/>
      <c r="E1130" s="205">
        <v>41051</v>
      </c>
      <c r="F1130" s="206" t="s">
        <v>1185</v>
      </c>
      <c r="G1130" s="581" t="s">
        <v>1331</v>
      </c>
      <c r="H1130" s="7" t="s">
        <v>1327</v>
      </c>
      <c r="I1130" s="275"/>
      <c r="J1130" s="275"/>
      <c r="K1130" s="698">
        <v>1807740</v>
      </c>
      <c r="L1130" s="208" t="s">
        <v>49</v>
      </c>
      <c r="M1130" s="208" t="s">
        <v>549</v>
      </c>
      <c r="N1130" s="55" t="str">
        <f>IF(AND('331-CT'!$E$7=TH!H1130,OR(L1130="331",M1130="331")),"x","")</f>
        <v/>
      </c>
      <c r="O1130" s="55" t="str">
        <f>IF(AND($B1130&gt;='111'!$N$11,$B1130&lt;='111'!$O$11,OR($L1130=$O$7,$M1130=$O$7)),"x","")</f>
        <v/>
      </c>
      <c r="P1130" s="55" t="str">
        <f>IF(AND($L1130=$O$7,$B1130&lt;'111'!$N$11),"x","")</f>
        <v>x</v>
      </c>
      <c r="Q1130" s="55" t="str">
        <f>IF(AND($M1130=$O$7,$B1130&lt;'111'!$N$11),"x","")</f>
        <v/>
      </c>
      <c r="R1130" s="55" t="str">
        <f>IF(ISERROR(FIND('112'!$M$9,G1130,1)),"",IF((AND(FIND('112'!$M$9,G1130,1)&gt;=1,$B1130&gt;='112'!$N$8,$B1130&lt;='112'!$O$8,OR($L1130='112'!$I$6,$M1130='112'!$I$6))),"x",""))</f>
        <v/>
      </c>
      <c r="S1130" s="55" t="str">
        <f>IF(ISERROR(FIND('112'!$M$9,G1130,1)),"",IF((AND(LEFT(G1130,2)=LEFT('112'!$M$9,2),B1130&lt;'112'!$N$8,$L1130='112'!$I$6)),"x",""))</f>
        <v/>
      </c>
      <c r="T1130" s="55" t="str">
        <f>IF(ISERROR(FIND('112'!$M$9,G1130,1)),"",IF((AND(RIGHT(G1130,2)=RIGHT('112'!$M$9,2),B1130&lt;'112'!$N$8,$M1130='112'!$I$6)),"x",""))</f>
        <v/>
      </c>
      <c r="U1130" s="55" t="str">
        <f>IF(AND('3411-CT'!$F$9=H1130,OR(LEFT(L1130,3)=$U$7,LEFT(M1130,3)=$U$7)),"x","")</f>
        <v/>
      </c>
      <c r="V1130" s="55" t="str">
        <f>IF(OR(TH!L1130=TH!$V$7,M1130=TH!$V$7),"x","")</f>
        <v/>
      </c>
      <c r="W1130" s="55" t="str">
        <f>IF(AND(OR(L1130="131",M1130="131"),H1130='131-CT'!$E$7),"x","")</f>
        <v/>
      </c>
      <c r="X1130" s="55" t="str">
        <f>IF(AND(B1130&gt;='IN-NX'!$P$3,B1130&lt;='IN-NX'!$Q$3,'IN-NX'!$D$7=D1130,OR(LEFT(TH!L1130,2)="15",LEFT(TH!M1130,2)="15")),"x","")</f>
        <v/>
      </c>
      <c r="Y1130" s="55" t="str">
        <f>IF(AND(OR(LEFT(TH!L1130,2)="15",LEFT(TH!M1130,2)="15"),'152-CT'!$J$8=TH!F1130),"x","")</f>
        <v/>
      </c>
      <c r="Z1130" s="55" t="str">
        <f>IF(AND(OR(LEFT(TH!L1130,2)="15",LEFT(TH!M1130,2)="15"),TK!$E$7=TH!F1130),"x","")</f>
        <v/>
      </c>
      <c r="AA1130" s="55" t="str">
        <f>IF(AND(B1130&lt;=NKC!$N$8,B1130&gt;=NKC!$M$8),"x","")</f>
        <v>x</v>
      </c>
    </row>
    <row r="1131" spans="1:29" s="226" customFormat="1" ht="15.75" customHeight="1">
      <c r="A1131" s="219" t="str">
        <f>IF(B1131&lt;&gt;"",IF(AND(B1131&gt;=_TM1,B1131&lt;=_TM2,OR(TH!L1131="1111",TH!M1131="1111")),TH!D1131,""),"")</f>
        <v/>
      </c>
      <c r="B1131" s="36">
        <f t="shared" si="39"/>
        <v>5</v>
      </c>
      <c r="C1131" s="205">
        <f t="shared" si="47"/>
        <v>41051</v>
      </c>
      <c r="D1131" s="205"/>
      <c r="E1131" s="205">
        <v>41051</v>
      </c>
      <c r="F1131" s="206" t="s">
        <v>1334</v>
      </c>
      <c r="G1131" s="581" t="s">
        <v>1335</v>
      </c>
      <c r="H1131" s="207" t="s">
        <v>1139</v>
      </c>
      <c r="I1131" s="277">
        <v>492</v>
      </c>
      <c r="J1131" s="277">
        <v>8280</v>
      </c>
      <c r="K1131" s="698">
        <f t="shared" si="49"/>
        <v>4073760</v>
      </c>
      <c r="L1131" s="208" t="s">
        <v>311</v>
      </c>
      <c r="M1131" s="208" t="s">
        <v>208</v>
      </c>
      <c r="N1131" s="55" t="str">
        <f>IF(AND('331-CT'!$E$7=TH!H1131,OR(L1131="331",M1131="331")),"x","")</f>
        <v/>
      </c>
      <c r="O1131" s="55" t="str">
        <f>IF(AND($B1131&gt;='111'!$N$11,$B1131&lt;='111'!$O$11,OR($L1131=$O$7,$M1131=$O$7)),"x","")</f>
        <v/>
      </c>
      <c r="P1131" s="55" t="str">
        <f>IF(AND($L1131=$O$7,$B1131&lt;'111'!$N$11),"x","")</f>
        <v/>
      </c>
      <c r="Q1131" s="55" t="str">
        <f>IF(AND($M1131=$O$7,$B1131&lt;'111'!$N$11),"x","")</f>
        <v/>
      </c>
      <c r="R1131" s="55" t="str">
        <f>IF(ISERROR(FIND('112'!$M$9,G1131,1)),"",IF((AND(FIND('112'!$M$9,G1131,1)&gt;=1,$B1131&gt;='112'!$N$8,$B1131&lt;='112'!$O$8,OR($L1131='112'!$I$6,$M1131='112'!$I$6))),"x",""))</f>
        <v/>
      </c>
      <c r="S1131" s="55" t="str">
        <f>IF(ISERROR(FIND('112'!$M$9,G1131,1)),"",IF((AND(LEFT(G1131,2)=LEFT('112'!$M$9,2),B1131&lt;'112'!$N$8,$L1131='112'!$I$6)),"x",""))</f>
        <v/>
      </c>
      <c r="T1131" s="55" t="str">
        <f>IF(ISERROR(FIND('112'!$M$9,G1131,1)),"",IF((AND(RIGHT(G1131,2)=RIGHT('112'!$M$9,2),B1131&lt;'112'!$N$8,$M1131='112'!$I$6)),"x",""))</f>
        <v/>
      </c>
      <c r="U1131" s="55" t="str">
        <f>IF(AND('3411-CT'!$F$9=H1131,OR(LEFT(L1131,3)=$U$7,LEFT(M1131,3)=$U$7)),"x","")</f>
        <v/>
      </c>
      <c r="V1131" s="55" t="str">
        <f>IF(OR(TH!L1131=TH!$V$7,M1131=TH!$V$7),"x","")</f>
        <v/>
      </c>
      <c r="W1131" s="55" t="str">
        <f>IF(AND(OR(L1131="131",M1131="131"),H1131='131-CT'!$E$7),"x","")</f>
        <v/>
      </c>
      <c r="X1131" s="55" t="str">
        <f>IF(AND(B1131&gt;='IN-NX'!$P$3,B1131&lt;='IN-NX'!$Q$3,'IN-NX'!$D$7=D1131,OR(LEFT(TH!L1131,2)="15",LEFT(TH!M1131,2)="15")),"x","")</f>
        <v/>
      </c>
      <c r="Y1131" s="55" t="str">
        <f>IF(AND(OR(LEFT(TH!L1131,2)="15",LEFT(TH!M1131,2)="15"),'152-CT'!$J$8=TH!F1131),"x","")</f>
        <v/>
      </c>
      <c r="Z1131" s="55" t="str">
        <f>IF(AND(OR(LEFT(TH!L1131,2)="15",LEFT(TH!M1131,2)="15"),TK!$E$7=TH!F1131),"x","")</f>
        <v/>
      </c>
      <c r="AA1131" s="55" t="str">
        <f>IF(AND(B1131&lt;=NKC!$N$8,B1131&gt;=NKC!$M$8),"x","")</f>
        <v>x</v>
      </c>
    </row>
    <row r="1132" spans="1:29" s="226" customFormat="1" ht="15.75" customHeight="1">
      <c r="A1132" s="219" t="str">
        <f>IF(B1132&lt;&gt;"",IF(AND(B1132&gt;=_TM1,B1132&lt;=_TM2,OR(TH!L1132="1111",TH!M1132="1111")),TH!D1132,""),"")</f>
        <v/>
      </c>
      <c r="B1132" s="36">
        <f t="shared" si="39"/>
        <v>5</v>
      </c>
      <c r="C1132" s="205">
        <f t="shared" si="47"/>
        <v>41051</v>
      </c>
      <c r="D1132" s="205"/>
      <c r="E1132" s="205">
        <v>41051</v>
      </c>
      <c r="F1132" s="206" t="s">
        <v>1336</v>
      </c>
      <c r="G1132" s="581" t="s">
        <v>1335</v>
      </c>
      <c r="H1132" s="207" t="s">
        <v>1139</v>
      </c>
      <c r="I1132" s="277">
        <v>500</v>
      </c>
      <c r="J1132" s="277">
        <v>9760</v>
      </c>
      <c r="K1132" s="698">
        <f t="shared" si="49"/>
        <v>4880000</v>
      </c>
      <c r="L1132" s="208" t="s">
        <v>311</v>
      </c>
      <c r="M1132" s="208" t="s">
        <v>208</v>
      </c>
      <c r="N1132" s="55" t="str">
        <f>IF(AND('331-CT'!$E$7=TH!H1132,OR(L1132="331",M1132="331")),"x","")</f>
        <v/>
      </c>
      <c r="O1132" s="55" t="str">
        <f>IF(AND($B1132&gt;='111'!$N$11,$B1132&lt;='111'!$O$11,OR($L1132=$O$7,$M1132=$O$7)),"x","")</f>
        <v/>
      </c>
      <c r="P1132" s="55" t="str">
        <f>IF(AND($L1132=$O$7,$B1132&lt;'111'!$N$11),"x","")</f>
        <v/>
      </c>
      <c r="Q1132" s="55" t="str">
        <f>IF(AND($M1132=$O$7,$B1132&lt;'111'!$N$11),"x","")</f>
        <v/>
      </c>
      <c r="R1132" s="55" t="str">
        <f>IF(ISERROR(FIND('112'!$M$9,G1132,1)),"",IF((AND(FIND('112'!$M$9,G1132,1)&gt;=1,$B1132&gt;='112'!$N$8,$B1132&lt;='112'!$O$8,OR($L1132='112'!$I$6,$M1132='112'!$I$6))),"x",""))</f>
        <v/>
      </c>
      <c r="S1132" s="55" t="str">
        <f>IF(ISERROR(FIND('112'!$M$9,G1132,1)),"",IF((AND(LEFT(G1132,2)=LEFT('112'!$M$9,2),B1132&lt;'112'!$N$8,$L1132='112'!$I$6)),"x",""))</f>
        <v/>
      </c>
      <c r="T1132" s="55" t="str">
        <f>IF(ISERROR(FIND('112'!$M$9,G1132,1)),"",IF((AND(RIGHT(G1132,2)=RIGHT('112'!$M$9,2),B1132&lt;'112'!$N$8,$M1132='112'!$I$6)),"x",""))</f>
        <v/>
      </c>
      <c r="U1132" s="55" t="str">
        <f>IF(AND('3411-CT'!$F$9=H1132,OR(LEFT(L1132,3)=$U$7,LEFT(M1132,3)=$U$7)),"x","")</f>
        <v/>
      </c>
      <c r="V1132" s="55" t="str">
        <f>IF(OR(TH!L1132=TH!$V$7,M1132=TH!$V$7),"x","")</f>
        <v/>
      </c>
      <c r="W1132" s="55" t="str">
        <f>IF(AND(OR(L1132="131",M1132="131"),H1132='131-CT'!$E$7),"x","")</f>
        <v/>
      </c>
      <c r="X1132" s="55" t="str">
        <f>IF(AND(B1132&gt;='IN-NX'!$P$3,B1132&lt;='IN-NX'!$Q$3,'IN-NX'!$D$7=D1132,OR(LEFT(TH!L1132,2)="15",LEFT(TH!M1132,2)="15")),"x","")</f>
        <v/>
      </c>
      <c r="Y1132" s="55" t="str">
        <f>IF(AND(OR(LEFT(TH!L1132,2)="15",LEFT(TH!M1132,2)="15"),'152-CT'!$J$8=TH!F1132),"x","")</f>
        <v/>
      </c>
      <c r="Z1132" s="55" t="str">
        <f>IF(AND(OR(LEFT(TH!L1132,2)="15",LEFT(TH!M1132,2)="15"),TK!$E$7=TH!F1132),"x","")</f>
        <v/>
      </c>
      <c r="AA1132" s="55" t="str">
        <f>IF(AND(B1132&lt;=NKC!$N$8,B1132&gt;=NKC!$M$8),"x","")</f>
        <v>x</v>
      </c>
    </row>
    <row r="1133" spans="1:29" ht="15.75" customHeight="1">
      <c r="A1133" s="219" t="str">
        <f>IF(B1133&lt;&gt;"",IF(AND(B1133&gt;=_TM1,B1133&lt;=_TM2,OR(TH!L1133="1111",TH!M1133="1111")),TH!D1133,""),"")</f>
        <v/>
      </c>
      <c r="B1133" s="36">
        <f t="shared" si="39"/>
        <v>5</v>
      </c>
      <c r="C1133" s="205">
        <f t="shared" si="47"/>
        <v>41051</v>
      </c>
      <c r="D1133" s="205"/>
      <c r="E1133" s="205">
        <v>41051</v>
      </c>
      <c r="F1133" s="206" t="s">
        <v>1337</v>
      </c>
      <c r="G1133" s="581" t="s">
        <v>1335</v>
      </c>
      <c r="H1133" s="207" t="s">
        <v>1139</v>
      </c>
      <c r="I1133" s="277">
        <v>982</v>
      </c>
      <c r="J1133" s="277">
        <v>11040</v>
      </c>
      <c r="K1133" s="38">
        <f t="shared" si="49"/>
        <v>10841280</v>
      </c>
      <c r="L1133" s="208" t="s">
        <v>311</v>
      </c>
      <c r="M1133" s="208" t="s">
        <v>208</v>
      </c>
      <c r="N1133" s="55" t="str">
        <f>IF(AND('331-CT'!$E$7=TH!H1133,OR(L1133="331",M1133="331")),"x","")</f>
        <v/>
      </c>
      <c r="O1133" s="55" t="str">
        <f>IF(AND($B1133&gt;='111'!$N$11,$B1133&lt;='111'!$O$11,OR($L1133=$O$7,$M1133=$O$7)),"x","")</f>
        <v/>
      </c>
      <c r="P1133" s="55" t="str">
        <f>IF(AND($L1133=$O$7,$B1133&lt;'111'!$N$11),"x","")</f>
        <v/>
      </c>
      <c r="Q1133" s="55" t="str">
        <f>IF(AND($M1133=$O$7,$B1133&lt;'111'!$N$11),"x","")</f>
        <v/>
      </c>
      <c r="R1133" s="55" t="str">
        <f>IF(ISERROR(FIND('112'!$M$9,G1133,1)),"",IF((AND(FIND('112'!$M$9,G1133,1)&gt;=1,$B1133&gt;='112'!$N$8,$B1133&lt;='112'!$O$8,OR($L1133='112'!$I$6,$M1133='112'!$I$6))),"x",""))</f>
        <v/>
      </c>
      <c r="S1133" s="55" t="str">
        <f>IF(ISERROR(FIND('112'!$M$9,G1133,1)),"",IF((AND(LEFT(G1133,2)=LEFT('112'!$M$9,2),B1133&lt;'112'!$N$8,$L1133='112'!$I$6)),"x",""))</f>
        <v/>
      </c>
      <c r="T1133" s="55" t="str">
        <f>IF(ISERROR(FIND('112'!$M$9,G1133,1)),"",IF((AND(RIGHT(G1133,2)=RIGHT('112'!$M$9,2),B1133&lt;'112'!$N$8,$M1133='112'!$I$6)),"x",""))</f>
        <v/>
      </c>
      <c r="U1133" s="55" t="str">
        <f>IF(AND('3411-CT'!$F$9=H1133,OR(LEFT(L1133,3)=$U$7,LEFT(M1133,3)=$U$7)),"x","")</f>
        <v/>
      </c>
      <c r="V1133" s="55" t="str">
        <f>IF(OR(TH!L1133=TH!$V$7,M1133=TH!$V$7),"x","")</f>
        <v/>
      </c>
      <c r="W1133" s="55" t="str">
        <f>IF(AND(OR(L1133="131",M1133="131"),H1133='131-CT'!$E$7),"x","")</f>
        <v/>
      </c>
      <c r="X1133" s="55" t="str">
        <f>IF(AND(B1133&gt;='IN-NX'!$P$3,B1133&lt;='IN-NX'!$Q$3,'IN-NX'!$D$7=D1133,OR(LEFT(TH!L1133,2)="15",LEFT(TH!M1133,2)="15")),"x","")</f>
        <v/>
      </c>
      <c r="Y1133" s="55" t="str">
        <f>IF(AND(OR(LEFT(TH!L1133,2)="15",LEFT(TH!M1133,2)="15"),'152-CT'!$J$8=TH!F1133),"x","")</f>
        <v/>
      </c>
      <c r="Z1133" s="55" t="str">
        <f>IF(AND(OR(LEFT(TH!L1133,2)="15",LEFT(TH!M1133,2)="15"),TK!$E$7=TH!F1133),"x","")</f>
        <v/>
      </c>
      <c r="AA1133" s="55" t="str">
        <f>IF(AND(B1133&lt;=NKC!$N$8,B1133&gt;=NKC!$M$8),"x","")</f>
        <v>x</v>
      </c>
    </row>
    <row r="1134" spans="1:29" ht="15.75" customHeight="1">
      <c r="A1134" s="219" t="str">
        <f>IF(B1134&lt;&gt;"",IF(AND(B1134&gt;=_TM1,B1134&lt;=_TM2,OR(TH!L1134="1111",TH!M1134="1111")),TH!D1134,""),"")</f>
        <v/>
      </c>
      <c r="B1134" s="36">
        <f t="shared" si="39"/>
        <v>5</v>
      </c>
      <c r="C1134" s="205">
        <f t="shared" si="47"/>
        <v>41051</v>
      </c>
      <c r="D1134" s="205"/>
      <c r="E1134" s="205">
        <v>41051</v>
      </c>
      <c r="F1134" s="206" t="s">
        <v>1338</v>
      </c>
      <c r="G1134" s="581" t="s">
        <v>1335</v>
      </c>
      <c r="H1134" s="207" t="s">
        <v>1139</v>
      </c>
      <c r="I1134" s="277"/>
      <c r="J1134" s="277"/>
      <c r="K1134" s="38">
        <v>1989344</v>
      </c>
      <c r="L1134" s="208" t="s">
        <v>311</v>
      </c>
      <c r="M1134" s="208" t="s">
        <v>549</v>
      </c>
      <c r="N1134" s="55" t="str">
        <f>IF(AND('331-CT'!$E$7=TH!H1134,OR(L1134="331",M1134="331")),"x","")</f>
        <v/>
      </c>
      <c r="O1134" s="55" t="str">
        <f>IF(AND($B1134&gt;='111'!$N$11,$B1134&lt;='111'!$O$11,OR($L1134=$O$7,$M1134=$O$7)),"x","")</f>
        <v/>
      </c>
      <c r="P1134" s="55" t="str">
        <f>IF(AND($L1134=$O$7,$B1134&lt;'111'!$N$11),"x","")</f>
        <v/>
      </c>
      <c r="Q1134" s="55" t="str">
        <f>IF(AND($M1134=$O$7,$B1134&lt;'111'!$N$11),"x","")</f>
        <v/>
      </c>
      <c r="R1134" s="55" t="str">
        <f>IF(ISERROR(FIND('112'!$M$9,G1134,1)),"",IF((AND(FIND('112'!$M$9,G1134,1)&gt;=1,$B1134&gt;='112'!$N$8,$B1134&lt;='112'!$O$8,OR($L1134='112'!$I$6,$M1134='112'!$I$6))),"x",""))</f>
        <v/>
      </c>
      <c r="S1134" s="55" t="str">
        <f>IF(ISERROR(FIND('112'!$M$9,G1134,1)),"",IF((AND(LEFT(G1134,2)=LEFT('112'!$M$9,2),B1134&lt;'112'!$N$8,$L1134='112'!$I$6)),"x",""))</f>
        <v/>
      </c>
      <c r="T1134" s="55" t="str">
        <f>IF(ISERROR(FIND('112'!$M$9,G1134,1)),"",IF((AND(RIGHT(G1134,2)=RIGHT('112'!$M$9,2),B1134&lt;'112'!$N$8,$M1134='112'!$I$6)),"x",""))</f>
        <v/>
      </c>
      <c r="U1134" s="55" t="str">
        <f>IF(AND('3411-CT'!$F$9=H1134,OR(LEFT(L1134,3)=$U$7,LEFT(M1134,3)=$U$7)),"x","")</f>
        <v/>
      </c>
      <c r="V1134" s="55" t="str">
        <f>IF(OR(TH!L1134=TH!$V$7,M1134=TH!$V$7),"x","")</f>
        <v/>
      </c>
      <c r="W1134" s="55" t="str">
        <f>IF(AND(OR(L1134="131",M1134="131"),H1134='131-CT'!$E$7),"x","")</f>
        <v/>
      </c>
      <c r="X1134" s="55" t="str">
        <f>IF(AND(B1134&gt;='IN-NX'!$P$3,B1134&lt;='IN-NX'!$Q$3,'IN-NX'!$D$7=D1134,OR(LEFT(TH!L1134,2)="15",LEFT(TH!M1134,2)="15")),"x","")</f>
        <v/>
      </c>
      <c r="Y1134" s="55" t="str">
        <f>IF(AND(OR(LEFT(TH!L1134,2)="15",LEFT(TH!M1134,2)="15"),'152-CT'!$J$8=TH!F1134),"x","")</f>
        <v/>
      </c>
      <c r="Z1134" s="55" t="str">
        <f>IF(AND(OR(LEFT(TH!L1134,2)="15",LEFT(TH!M1134,2)="15"),TK!$E$7=TH!F1134),"x","")</f>
        <v/>
      </c>
      <c r="AA1134" s="55" t="str">
        <f>IF(AND(B1134&lt;=NKC!$N$8,B1134&gt;=NKC!$M$8),"x","")</f>
        <v>x</v>
      </c>
      <c r="AC1134" s="226"/>
    </row>
    <row r="1135" spans="1:29" ht="15.75" customHeight="1">
      <c r="A1135" s="219" t="str">
        <f>IF(B1135&lt;&gt;"",IF(AND(B1135&gt;=_TM1,B1135&lt;=_TM2,OR(TH!L1135="1111",TH!M1135="1111")),TH!D1135,""),"")</f>
        <v/>
      </c>
      <c r="B1135" s="36">
        <f t="shared" si="39"/>
        <v>5</v>
      </c>
      <c r="C1135" s="205">
        <f t="shared" si="47"/>
        <v>41053</v>
      </c>
      <c r="D1135" s="205"/>
      <c r="E1135" s="205">
        <v>41053</v>
      </c>
      <c r="F1135" s="331" t="s">
        <v>1339</v>
      </c>
      <c r="G1135" s="581" t="s">
        <v>1340</v>
      </c>
      <c r="H1135" s="207" t="s">
        <v>1278</v>
      </c>
      <c r="I1135" s="277">
        <v>299</v>
      </c>
      <c r="J1135" s="277">
        <v>6120</v>
      </c>
      <c r="K1135" s="38">
        <f t="shared" si="49"/>
        <v>1829880</v>
      </c>
      <c r="L1135" s="208" t="s">
        <v>49</v>
      </c>
      <c r="M1135" s="208" t="s">
        <v>208</v>
      </c>
      <c r="N1135" s="55" t="str">
        <f>IF(AND('331-CT'!$E$7=TH!H1135,OR(L1135="331",M1135="331")),"x","")</f>
        <v/>
      </c>
      <c r="O1135" s="55" t="str">
        <f>IF(AND($B1135&gt;='111'!$N$11,$B1135&lt;='111'!$O$11,OR($L1135=$O$7,$M1135=$O$7)),"x","")</f>
        <v/>
      </c>
      <c r="P1135" s="55" t="str">
        <f>IF(AND($L1135=$O$7,$B1135&lt;'111'!$N$11),"x","")</f>
        <v>x</v>
      </c>
      <c r="Q1135" s="55" t="str">
        <f>IF(AND($M1135=$O$7,$B1135&lt;'111'!$N$11),"x","")</f>
        <v/>
      </c>
      <c r="R1135" s="55" t="str">
        <f>IF(ISERROR(FIND('112'!$M$9,G1135,1)),"",IF((AND(FIND('112'!$M$9,G1135,1)&gt;=1,$B1135&gt;='112'!$N$8,$B1135&lt;='112'!$O$8,OR($L1135='112'!$I$6,$M1135='112'!$I$6))),"x",""))</f>
        <v/>
      </c>
      <c r="S1135" s="55" t="str">
        <f>IF(ISERROR(FIND('112'!$M$9,G1135,1)),"",IF((AND(LEFT(G1135,2)=LEFT('112'!$M$9,2),B1135&lt;'112'!$N$8,$L1135='112'!$I$6)),"x",""))</f>
        <v/>
      </c>
      <c r="T1135" s="55" t="str">
        <f>IF(ISERROR(FIND('112'!$M$9,G1135,1)),"",IF((AND(RIGHT(G1135,2)=RIGHT('112'!$M$9,2),B1135&lt;'112'!$N$8,$M1135='112'!$I$6)),"x",""))</f>
        <v/>
      </c>
      <c r="U1135" s="55" t="str">
        <f>IF(AND('3411-CT'!$F$9=H1135,OR(LEFT(L1135,3)=$U$7,LEFT(M1135,3)=$U$7)),"x","")</f>
        <v/>
      </c>
      <c r="V1135" s="55" t="str">
        <f>IF(OR(TH!L1135=TH!$V$7,M1135=TH!$V$7),"x","")</f>
        <v/>
      </c>
      <c r="W1135" s="55" t="str">
        <f>IF(AND(OR(L1135="131",M1135="131"),H1135='131-CT'!$E$7),"x","")</f>
        <v/>
      </c>
      <c r="X1135" s="55" t="str">
        <f>IF(AND(B1135&gt;='IN-NX'!$P$3,B1135&lt;='IN-NX'!$Q$3,'IN-NX'!$D$7=D1135,OR(LEFT(TH!L1135,2)="15",LEFT(TH!M1135,2)="15")),"x","")</f>
        <v/>
      </c>
      <c r="Y1135" s="55" t="str">
        <f>IF(AND(OR(LEFT(TH!L1135,2)="15",LEFT(TH!M1135,2)="15"),'152-CT'!$J$8=TH!F1135),"x","")</f>
        <v/>
      </c>
      <c r="Z1135" s="55" t="str">
        <f>IF(AND(OR(LEFT(TH!L1135,2)="15",LEFT(TH!M1135,2)="15"),TK!$E$7=TH!F1135),"x","")</f>
        <v/>
      </c>
      <c r="AA1135" s="55" t="str">
        <f>IF(AND(B1135&lt;=NKC!$N$8,B1135&gt;=NKC!$M$8),"x","")</f>
        <v>x</v>
      </c>
    </row>
    <row r="1136" spans="1:29" ht="15.75" customHeight="1">
      <c r="A1136" s="219" t="str">
        <f>IF(B1136&lt;&gt;"",IF(AND(B1136&gt;=_TM1,B1136&lt;=_TM2,OR(TH!L1136="1111",TH!M1136="1111")),TH!D1136,""),"")</f>
        <v/>
      </c>
      <c r="B1136" s="36">
        <f t="shared" si="39"/>
        <v>5</v>
      </c>
      <c r="C1136" s="205">
        <f t="shared" si="47"/>
        <v>41054</v>
      </c>
      <c r="D1136" s="205"/>
      <c r="E1136" s="205">
        <v>41054</v>
      </c>
      <c r="F1136" s="331" t="s">
        <v>1341</v>
      </c>
      <c r="G1136" s="581" t="s">
        <v>1340</v>
      </c>
      <c r="H1136" s="207" t="s">
        <v>1278</v>
      </c>
      <c r="I1136" s="277">
        <v>296</v>
      </c>
      <c r="J1136" s="277">
        <v>7495</v>
      </c>
      <c r="K1136" s="38">
        <f t="shared" si="49"/>
        <v>2218520</v>
      </c>
      <c r="L1136" s="208" t="s">
        <v>49</v>
      </c>
      <c r="M1136" s="208" t="s">
        <v>208</v>
      </c>
      <c r="N1136" s="55" t="str">
        <f>IF(AND('331-CT'!$E$7=TH!H1136,OR(L1136="331",M1136="331")),"x","")</f>
        <v/>
      </c>
      <c r="O1136" s="55" t="str">
        <f>IF(AND($B1136&gt;='111'!$N$11,$B1136&lt;='111'!$O$11,OR($L1136=$O$7,$M1136=$O$7)),"x","")</f>
        <v/>
      </c>
      <c r="P1136" s="55" t="str">
        <f>IF(AND($L1136=$O$7,$B1136&lt;'111'!$N$11),"x","")</f>
        <v>x</v>
      </c>
      <c r="Q1136" s="55" t="str">
        <f>IF(AND($M1136=$O$7,$B1136&lt;'111'!$N$11),"x","")</f>
        <v/>
      </c>
      <c r="R1136" s="55" t="str">
        <f>IF(ISERROR(FIND('112'!$M$9,G1136,1)),"",IF((AND(FIND('112'!$M$9,G1136,1)&gt;=1,$B1136&gt;='112'!$N$8,$B1136&lt;='112'!$O$8,OR($L1136='112'!$I$6,$M1136='112'!$I$6))),"x",""))</f>
        <v/>
      </c>
      <c r="S1136" s="55" t="str">
        <f>IF(ISERROR(FIND('112'!$M$9,G1136,1)),"",IF((AND(LEFT(G1136,2)=LEFT('112'!$M$9,2),B1136&lt;'112'!$N$8,$L1136='112'!$I$6)),"x",""))</f>
        <v/>
      </c>
      <c r="T1136" s="55" t="str">
        <f>IF(ISERROR(FIND('112'!$M$9,G1136,1)),"",IF((AND(RIGHT(G1136,2)=RIGHT('112'!$M$9,2),B1136&lt;'112'!$N$8,$M1136='112'!$I$6)),"x",""))</f>
        <v/>
      </c>
      <c r="U1136" s="55" t="str">
        <f>IF(AND('3411-CT'!$F$9=H1136,OR(LEFT(L1136,3)=$U$7,LEFT(M1136,3)=$U$7)),"x","")</f>
        <v/>
      </c>
      <c r="V1136" s="55" t="str">
        <f>IF(OR(TH!L1136=TH!$V$7,M1136=TH!$V$7),"x","")</f>
        <v/>
      </c>
      <c r="W1136" s="55" t="str">
        <f>IF(AND(OR(L1136="131",M1136="131"),H1136='131-CT'!$E$7),"x","")</f>
        <v/>
      </c>
      <c r="X1136" s="55" t="str">
        <f>IF(AND(B1136&gt;='IN-NX'!$P$3,B1136&lt;='IN-NX'!$Q$3,'IN-NX'!$D$7=D1136,OR(LEFT(TH!L1136,2)="15",LEFT(TH!M1136,2)="15")),"x","")</f>
        <v/>
      </c>
      <c r="Y1136" s="55" t="str">
        <f>IF(AND(OR(LEFT(TH!L1136,2)="15",LEFT(TH!M1136,2)="15"),'152-CT'!$J$8=TH!F1136),"x","")</f>
        <v/>
      </c>
      <c r="Z1136" s="55" t="str">
        <f>IF(AND(OR(LEFT(TH!L1136,2)="15",LEFT(TH!M1136,2)="15"),TK!$E$7=TH!F1136),"x","")</f>
        <v/>
      </c>
      <c r="AA1136" s="55" t="str">
        <f>IF(AND(B1136&lt;=NKC!$N$8,B1136&gt;=NKC!$M$8),"x","")</f>
        <v>x</v>
      </c>
    </row>
    <row r="1137" spans="1:29" ht="15.75" customHeight="1">
      <c r="A1137" s="219" t="str">
        <f>IF(B1137&lt;&gt;"",IF(AND(B1137&gt;=_TM1,B1137&lt;=_TM2,OR(TH!L1137="1111",TH!M1137="1111")),TH!D1137,""),"")</f>
        <v/>
      </c>
      <c r="B1137" s="36">
        <f t="shared" si="39"/>
        <v>5</v>
      </c>
      <c r="C1137" s="205">
        <f t="shared" si="47"/>
        <v>41053</v>
      </c>
      <c r="D1137" s="205"/>
      <c r="E1137" s="205">
        <v>41053</v>
      </c>
      <c r="F1137" s="206" t="s">
        <v>1185</v>
      </c>
      <c r="G1137" s="581" t="s">
        <v>1340</v>
      </c>
      <c r="H1137" s="207" t="s">
        <v>1278</v>
      </c>
      <c r="I1137" s="277"/>
      <c r="J1137" s="277"/>
      <c r="K1137" s="38">
        <v>404840</v>
      </c>
      <c r="L1137" s="208" t="s">
        <v>49</v>
      </c>
      <c r="M1137" s="208" t="s">
        <v>549</v>
      </c>
      <c r="N1137" s="55" t="str">
        <f>IF(AND('331-CT'!$E$7=TH!H1137,OR(L1137="331",M1137="331")),"x","")</f>
        <v/>
      </c>
      <c r="O1137" s="55" t="str">
        <f>IF(AND($B1137&gt;='111'!$N$11,$B1137&lt;='111'!$O$11,OR($L1137=$O$7,$M1137=$O$7)),"x","")</f>
        <v/>
      </c>
      <c r="P1137" s="55" t="str">
        <f>IF(AND($L1137=$O$7,$B1137&lt;'111'!$N$11),"x","")</f>
        <v>x</v>
      </c>
      <c r="Q1137" s="55" t="str">
        <f>IF(AND($M1137=$O$7,$B1137&lt;'111'!$N$11),"x","")</f>
        <v/>
      </c>
      <c r="R1137" s="55" t="str">
        <f>IF(ISERROR(FIND('112'!$M$9,G1137,1)),"",IF((AND(FIND('112'!$M$9,G1137,1)&gt;=1,$B1137&gt;='112'!$N$8,$B1137&lt;='112'!$O$8,OR($L1137='112'!$I$6,$M1137='112'!$I$6))),"x",""))</f>
        <v/>
      </c>
      <c r="S1137" s="55" t="str">
        <f>IF(ISERROR(FIND('112'!$M$9,G1137,1)),"",IF((AND(LEFT(G1137,2)=LEFT('112'!$M$9,2),B1137&lt;'112'!$N$8,$L1137='112'!$I$6)),"x",""))</f>
        <v/>
      </c>
      <c r="T1137" s="55" t="str">
        <f>IF(ISERROR(FIND('112'!$M$9,G1137,1)),"",IF((AND(RIGHT(G1137,2)=RIGHT('112'!$M$9,2),B1137&lt;'112'!$N$8,$M1137='112'!$I$6)),"x",""))</f>
        <v/>
      </c>
      <c r="U1137" s="55" t="str">
        <f>IF(AND('3411-CT'!$F$9=H1137,OR(LEFT(L1137,3)=$U$7,LEFT(M1137,3)=$U$7)),"x","")</f>
        <v/>
      </c>
      <c r="V1137" s="55" t="str">
        <f>IF(OR(TH!L1137=TH!$V$7,M1137=TH!$V$7),"x","")</f>
        <v/>
      </c>
      <c r="W1137" s="55" t="str">
        <f>IF(AND(OR(L1137="131",M1137="131"),H1137='131-CT'!$E$7),"x","")</f>
        <v/>
      </c>
      <c r="X1137" s="55" t="str">
        <f>IF(AND(B1137&gt;='IN-NX'!$P$3,B1137&lt;='IN-NX'!$Q$3,'IN-NX'!$D$7=D1137,OR(LEFT(TH!L1137,2)="15",LEFT(TH!M1137,2)="15")),"x","")</f>
        <v/>
      </c>
      <c r="Y1137" s="55" t="str">
        <f>IF(AND(OR(LEFT(TH!L1137,2)="15",LEFT(TH!M1137,2)="15"),'152-CT'!$J$8=TH!F1137),"x","")</f>
        <v/>
      </c>
      <c r="Z1137" s="55" t="str">
        <f>IF(AND(OR(LEFT(TH!L1137,2)="15",LEFT(TH!M1137,2)="15"),TK!$E$7=TH!F1137),"x","")</f>
        <v/>
      </c>
      <c r="AA1137" s="55" t="str">
        <f>IF(AND(B1137&lt;=NKC!$N$8,B1137&gt;=NKC!$M$8),"x","")</f>
        <v>x</v>
      </c>
      <c r="AC1137" s="226"/>
    </row>
    <row r="1138" spans="1:29" ht="15.75" customHeight="1">
      <c r="A1138" s="219" t="str">
        <f>IF(B1138&lt;&gt;"",IF(AND(B1138&gt;=_TM1,B1138&lt;=_TM2,OR(TH!L1138="1111",TH!M1138="1111")),TH!D1138,""),"")</f>
        <v/>
      </c>
      <c r="B1138" s="36">
        <f t="shared" si="39"/>
        <v>5</v>
      </c>
      <c r="C1138" s="205">
        <f t="shared" si="47"/>
        <v>41053</v>
      </c>
      <c r="D1138" s="205"/>
      <c r="E1138" s="205">
        <v>41053</v>
      </c>
      <c r="F1138" s="206" t="s">
        <v>1342</v>
      </c>
      <c r="G1138" s="581" t="s">
        <v>1343</v>
      </c>
      <c r="H1138" s="225" t="s">
        <v>1158</v>
      </c>
      <c r="I1138" s="278">
        <v>484</v>
      </c>
      <c r="J1138" s="278">
        <v>17850</v>
      </c>
      <c r="K1138" s="38">
        <f t="shared" si="49"/>
        <v>8639400</v>
      </c>
      <c r="L1138" s="208" t="s">
        <v>49</v>
      </c>
      <c r="M1138" s="208" t="s">
        <v>208</v>
      </c>
      <c r="N1138" s="55" t="str">
        <f>IF(AND('331-CT'!$E$7=TH!H1138,OR(L1138="331",M1138="331")),"x","")</f>
        <v/>
      </c>
      <c r="O1138" s="55" t="str">
        <f>IF(AND($B1138&gt;='111'!$N$11,$B1138&lt;='111'!$O$11,OR($L1138=$O$7,$M1138=$O$7)),"x","")</f>
        <v/>
      </c>
      <c r="P1138" s="55" t="str">
        <f>IF(AND($L1138=$O$7,$B1138&lt;'111'!$N$11),"x","")</f>
        <v>x</v>
      </c>
      <c r="Q1138" s="55" t="str">
        <f>IF(AND($M1138=$O$7,$B1138&lt;'111'!$N$11),"x","")</f>
        <v/>
      </c>
      <c r="R1138" s="55" t="str">
        <f>IF(ISERROR(FIND('112'!$M$9,G1138,1)),"",IF((AND(FIND('112'!$M$9,G1138,1)&gt;=1,$B1138&gt;='112'!$N$8,$B1138&lt;='112'!$O$8,OR($L1138='112'!$I$6,$M1138='112'!$I$6))),"x",""))</f>
        <v/>
      </c>
      <c r="S1138" s="55" t="str">
        <f>IF(ISERROR(FIND('112'!$M$9,G1138,1)),"",IF((AND(LEFT(G1138,2)=LEFT('112'!$M$9,2),B1138&lt;'112'!$N$8,$L1138='112'!$I$6)),"x",""))</f>
        <v/>
      </c>
      <c r="T1138" s="55" t="str">
        <f>IF(ISERROR(FIND('112'!$M$9,G1138,1)),"",IF((AND(RIGHT(G1138,2)=RIGHT('112'!$M$9,2),B1138&lt;'112'!$N$8,$M1138='112'!$I$6)),"x",""))</f>
        <v/>
      </c>
      <c r="U1138" s="55" t="str">
        <f>IF(AND('3411-CT'!$F$9=H1138,OR(LEFT(L1138,3)=$U$7,LEFT(M1138,3)=$U$7)),"x","")</f>
        <v/>
      </c>
      <c r="V1138" s="55" t="str">
        <f>IF(OR(TH!L1138=TH!$V$7,M1138=TH!$V$7),"x","")</f>
        <v/>
      </c>
      <c r="W1138" s="55" t="str">
        <f>IF(AND(OR(L1138="131",M1138="131"),H1138='131-CT'!$E$7),"x","")</f>
        <v/>
      </c>
      <c r="X1138" s="55" t="str">
        <f>IF(AND(B1138&gt;='IN-NX'!$P$3,B1138&lt;='IN-NX'!$Q$3,'IN-NX'!$D$7=D1138,OR(LEFT(TH!L1138,2)="15",LEFT(TH!M1138,2)="15")),"x","")</f>
        <v/>
      </c>
      <c r="Y1138" s="55" t="str">
        <f>IF(AND(OR(LEFT(TH!L1138,2)="15",LEFT(TH!M1138,2)="15"),'152-CT'!$J$8=TH!F1138),"x","")</f>
        <v/>
      </c>
      <c r="Z1138" s="55" t="str">
        <f>IF(AND(OR(LEFT(TH!L1138,2)="15",LEFT(TH!M1138,2)="15"),TK!$E$7=TH!F1138),"x","")</f>
        <v/>
      </c>
      <c r="AA1138" s="55" t="str">
        <f>IF(AND(B1138&lt;=NKC!$N$8,B1138&gt;=NKC!$M$8),"x","")</f>
        <v>x</v>
      </c>
    </row>
    <row r="1139" spans="1:29" ht="15.75" customHeight="1">
      <c r="A1139" s="219" t="str">
        <f>IF(B1139&lt;&gt;"",IF(AND(B1139&gt;=_TM1,B1139&lt;=_TM2,OR(TH!L1139="1111",TH!M1139="1111")),TH!D1139,""),"")</f>
        <v/>
      </c>
      <c r="B1139" s="36">
        <f t="shared" si="39"/>
        <v>5</v>
      </c>
      <c r="C1139" s="205">
        <f t="shared" si="47"/>
        <v>41053</v>
      </c>
      <c r="D1139" s="205"/>
      <c r="E1139" s="205">
        <v>41053</v>
      </c>
      <c r="F1139" s="206" t="s">
        <v>1185</v>
      </c>
      <c r="G1139" s="581" t="s">
        <v>1343</v>
      </c>
      <c r="H1139" s="225" t="s">
        <v>1158</v>
      </c>
      <c r="I1139" s="277"/>
      <c r="J1139" s="277"/>
      <c r="K1139" s="38">
        <v>863940</v>
      </c>
      <c r="L1139" s="208" t="s">
        <v>49</v>
      </c>
      <c r="M1139" s="208" t="s">
        <v>549</v>
      </c>
      <c r="N1139" s="55" t="str">
        <f>IF(AND('331-CT'!$E$7=TH!H1139,OR(L1139="331",M1139="331")),"x","")</f>
        <v/>
      </c>
      <c r="O1139" s="55" t="str">
        <f>IF(AND($B1139&gt;='111'!$N$11,$B1139&lt;='111'!$O$11,OR($L1139=$O$7,$M1139=$O$7)),"x","")</f>
        <v/>
      </c>
      <c r="P1139" s="55" t="str">
        <f>IF(AND($L1139=$O$7,$B1139&lt;'111'!$N$11),"x","")</f>
        <v>x</v>
      </c>
      <c r="Q1139" s="55" t="str">
        <f>IF(AND($M1139=$O$7,$B1139&lt;'111'!$N$11),"x","")</f>
        <v/>
      </c>
      <c r="R1139" s="55" t="str">
        <f>IF(ISERROR(FIND('112'!$M$9,G1139,1)),"",IF((AND(FIND('112'!$M$9,G1139,1)&gt;=1,$B1139&gt;='112'!$N$8,$B1139&lt;='112'!$O$8,OR($L1139='112'!$I$6,$M1139='112'!$I$6))),"x",""))</f>
        <v/>
      </c>
      <c r="S1139" s="55" t="str">
        <f>IF(ISERROR(FIND('112'!$M$9,G1139,1)),"",IF((AND(LEFT(G1139,2)=LEFT('112'!$M$9,2),B1139&lt;'112'!$N$8,$L1139='112'!$I$6)),"x",""))</f>
        <v/>
      </c>
      <c r="T1139" s="55" t="str">
        <f>IF(ISERROR(FIND('112'!$M$9,G1139,1)),"",IF((AND(RIGHT(G1139,2)=RIGHT('112'!$M$9,2),B1139&lt;'112'!$N$8,$M1139='112'!$I$6)),"x",""))</f>
        <v/>
      </c>
      <c r="U1139" s="55" t="str">
        <f>IF(AND('3411-CT'!$F$9=H1139,OR(LEFT(L1139,3)=$U$7,LEFT(M1139,3)=$U$7)),"x","")</f>
        <v/>
      </c>
      <c r="V1139" s="55" t="str">
        <f>IF(OR(TH!L1139=TH!$V$7,M1139=TH!$V$7),"x","")</f>
        <v/>
      </c>
      <c r="W1139" s="55" t="str">
        <f>IF(AND(OR(L1139="131",M1139="131"),H1139='131-CT'!$E$7),"x","")</f>
        <v/>
      </c>
      <c r="X1139" s="55" t="str">
        <f>IF(AND(B1139&gt;='IN-NX'!$P$3,B1139&lt;='IN-NX'!$Q$3,'IN-NX'!$D$7=D1139,OR(LEFT(TH!L1139,2)="15",LEFT(TH!M1139,2)="15")),"x","")</f>
        <v/>
      </c>
      <c r="Y1139" s="55" t="str">
        <f>IF(AND(OR(LEFT(TH!L1139,2)="15",LEFT(TH!M1139,2)="15"),'152-CT'!$J$8=TH!F1139),"x","")</f>
        <v/>
      </c>
      <c r="Z1139" s="55" t="str">
        <f>IF(AND(OR(LEFT(TH!L1139,2)="15",LEFT(TH!M1139,2)="15"),TK!$E$7=TH!F1139),"x","")</f>
        <v/>
      </c>
      <c r="AA1139" s="55" t="str">
        <f>IF(AND(B1139&lt;=NKC!$N$8,B1139&gt;=NKC!$M$8),"x","")</f>
        <v>x</v>
      </c>
      <c r="AC1139" s="226"/>
    </row>
    <row r="1140" spans="1:29" ht="15.75" customHeight="1">
      <c r="A1140" s="219" t="str">
        <f>IF(B1140&lt;&gt;"",IF(AND(B1140&gt;=_TM1,B1140&lt;=_TM2,OR(TH!L1140="1111",TH!M1140="1111")),TH!D1140,""),"")</f>
        <v/>
      </c>
      <c r="B1140" s="36">
        <f t="shared" si="39"/>
        <v>5</v>
      </c>
      <c r="C1140" s="205">
        <f t="shared" ref="C1140:C1203" si="50">E1140</f>
        <v>41053</v>
      </c>
      <c r="D1140" s="205"/>
      <c r="E1140" s="205">
        <v>41053</v>
      </c>
      <c r="F1140" s="206" t="s">
        <v>1344</v>
      </c>
      <c r="G1140" s="581" t="s">
        <v>1345</v>
      </c>
      <c r="H1140" s="207" t="s">
        <v>1346</v>
      </c>
      <c r="I1140" s="277">
        <v>850</v>
      </c>
      <c r="J1140" s="277">
        <v>20790</v>
      </c>
      <c r="K1140" s="38">
        <f t="shared" si="49"/>
        <v>17671500</v>
      </c>
      <c r="L1140" s="208" t="s">
        <v>311</v>
      </c>
      <c r="M1140" s="208" t="s">
        <v>208</v>
      </c>
      <c r="N1140" s="55" t="str">
        <f>IF(AND('331-CT'!$E$7=TH!H1140,OR(L1140="331",M1140="331")),"x","")</f>
        <v/>
      </c>
      <c r="O1140" s="55" t="str">
        <f>IF(AND($B1140&gt;='111'!$N$11,$B1140&lt;='111'!$O$11,OR($L1140=$O$7,$M1140=$O$7)),"x","")</f>
        <v/>
      </c>
      <c r="P1140" s="55" t="str">
        <f>IF(AND($L1140=$O$7,$B1140&lt;'111'!$N$11),"x","")</f>
        <v/>
      </c>
      <c r="Q1140" s="55" t="str">
        <f>IF(AND($M1140=$O$7,$B1140&lt;'111'!$N$11),"x","")</f>
        <v/>
      </c>
      <c r="R1140" s="55" t="str">
        <f>IF(ISERROR(FIND('112'!$M$9,G1140,1)),"",IF((AND(FIND('112'!$M$9,G1140,1)&gt;=1,$B1140&gt;='112'!$N$8,$B1140&lt;='112'!$O$8,OR($L1140='112'!$I$6,$M1140='112'!$I$6))),"x",""))</f>
        <v/>
      </c>
      <c r="S1140" s="55" t="str">
        <f>IF(ISERROR(FIND('112'!$M$9,G1140,1)),"",IF((AND(LEFT(G1140,2)=LEFT('112'!$M$9,2),B1140&lt;'112'!$N$8,$L1140='112'!$I$6)),"x",""))</f>
        <v/>
      </c>
      <c r="T1140" s="55" t="str">
        <f>IF(ISERROR(FIND('112'!$M$9,G1140,1)),"",IF((AND(RIGHT(G1140,2)=RIGHT('112'!$M$9,2),B1140&lt;'112'!$N$8,$M1140='112'!$I$6)),"x",""))</f>
        <v/>
      </c>
      <c r="U1140" s="55" t="str">
        <f>IF(AND('3411-CT'!$F$9=H1140,OR(LEFT(L1140,3)=$U$7,LEFT(M1140,3)=$U$7)),"x","")</f>
        <v/>
      </c>
      <c r="V1140" s="55" t="str">
        <f>IF(OR(TH!L1140=TH!$V$7,M1140=TH!$V$7),"x","")</f>
        <v/>
      </c>
      <c r="W1140" s="55" t="str">
        <f>IF(AND(OR(L1140="131",M1140="131"),H1140='131-CT'!$E$7),"x","")</f>
        <v/>
      </c>
      <c r="X1140" s="55" t="str">
        <f>IF(AND(B1140&gt;='IN-NX'!$P$3,B1140&lt;='IN-NX'!$Q$3,'IN-NX'!$D$7=D1140,OR(LEFT(TH!L1140,2)="15",LEFT(TH!M1140,2)="15")),"x","")</f>
        <v/>
      </c>
      <c r="Y1140" s="55" t="str">
        <f>IF(AND(OR(LEFT(TH!L1140,2)="15",LEFT(TH!M1140,2)="15"),'152-CT'!$J$8=TH!F1140),"x","")</f>
        <v/>
      </c>
      <c r="Z1140" s="55" t="str">
        <f>IF(AND(OR(LEFT(TH!L1140,2)="15",LEFT(TH!M1140,2)="15"),TK!$E$7=TH!F1140),"x","")</f>
        <v/>
      </c>
      <c r="AA1140" s="55" t="str">
        <f>IF(AND(B1140&lt;=NKC!$N$8,B1140&gt;=NKC!$M$8),"x","")</f>
        <v>x</v>
      </c>
    </row>
    <row r="1141" spans="1:29" ht="15.75" customHeight="1">
      <c r="A1141" s="219" t="str">
        <f>IF(B1141&lt;&gt;"",IF(AND(B1141&gt;=_TM1,B1141&lt;=_TM2,OR(TH!L1141="1111",TH!M1141="1111")),TH!D1141,""),"")</f>
        <v/>
      </c>
      <c r="B1141" s="36">
        <f t="shared" si="39"/>
        <v>5</v>
      </c>
      <c r="C1141" s="205">
        <f t="shared" si="50"/>
        <v>41053</v>
      </c>
      <c r="D1141" s="205"/>
      <c r="E1141" s="205">
        <v>41053</v>
      </c>
      <c r="F1141" s="206" t="s">
        <v>1347</v>
      </c>
      <c r="G1141" s="581" t="s">
        <v>1345</v>
      </c>
      <c r="H1141" s="207" t="s">
        <v>1346</v>
      </c>
      <c r="I1141" s="277">
        <v>450</v>
      </c>
      <c r="J1141" s="277">
        <v>13200</v>
      </c>
      <c r="K1141" s="38">
        <f t="shared" si="49"/>
        <v>5940000</v>
      </c>
      <c r="L1141" s="208" t="s">
        <v>311</v>
      </c>
      <c r="M1141" s="208" t="s">
        <v>208</v>
      </c>
      <c r="N1141" s="55" t="str">
        <f>IF(AND('331-CT'!$E$7=TH!H1141,OR(L1141="331",M1141="331")),"x","")</f>
        <v/>
      </c>
      <c r="O1141" s="55" t="str">
        <f>IF(AND($B1141&gt;='111'!$N$11,$B1141&lt;='111'!$O$11,OR($L1141=$O$7,$M1141=$O$7)),"x","")</f>
        <v/>
      </c>
      <c r="P1141" s="55" t="str">
        <f>IF(AND($L1141=$O$7,$B1141&lt;'111'!$N$11),"x","")</f>
        <v/>
      </c>
      <c r="Q1141" s="55" t="str">
        <f>IF(AND($M1141=$O$7,$B1141&lt;'111'!$N$11),"x","")</f>
        <v/>
      </c>
      <c r="R1141" s="55" t="str">
        <f>IF(ISERROR(FIND('112'!$M$9,G1141,1)),"",IF((AND(FIND('112'!$M$9,G1141,1)&gt;=1,$B1141&gt;='112'!$N$8,$B1141&lt;='112'!$O$8,OR($L1141='112'!$I$6,$M1141='112'!$I$6))),"x",""))</f>
        <v/>
      </c>
      <c r="S1141" s="55" t="str">
        <f>IF(ISERROR(FIND('112'!$M$9,G1141,1)),"",IF((AND(LEFT(G1141,2)=LEFT('112'!$M$9,2),B1141&lt;'112'!$N$8,$L1141='112'!$I$6)),"x",""))</f>
        <v/>
      </c>
      <c r="T1141" s="55" t="str">
        <f>IF(ISERROR(FIND('112'!$M$9,G1141,1)),"",IF((AND(RIGHT(G1141,2)=RIGHT('112'!$M$9,2),B1141&lt;'112'!$N$8,$M1141='112'!$I$6)),"x",""))</f>
        <v/>
      </c>
      <c r="U1141" s="55" t="str">
        <f>IF(AND('3411-CT'!$F$9=H1141,OR(LEFT(L1141,3)=$U$7,LEFT(M1141,3)=$U$7)),"x","")</f>
        <v/>
      </c>
      <c r="V1141" s="55" t="str">
        <f>IF(OR(TH!L1141=TH!$V$7,M1141=TH!$V$7),"x","")</f>
        <v/>
      </c>
      <c r="W1141" s="55" t="str">
        <f>IF(AND(OR(L1141="131",M1141="131"),H1141='131-CT'!$E$7),"x","")</f>
        <v/>
      </c>
      <c r="X1141" s="55" t="str">
        <f>IF(AND(B1141&gt;='IN-NX'!$P$3,B1141&lt;='IN-NX'!$Q$3,'IN-NX'!$D$7=D1141,OR(LEFT(TH!L1141,2)="15",LEFT(TH!M1141,2)="15")),"x","")</f>
        <v/>
      </c>
      <c r="Y1141" s="55" t="str">
        <f>IF(AND(OR(LEFT(TH!L1141,2)="15",LEFT(TH!M1141,2)="15"),'152-CT'!$J$8=TH!F1141),"x","")</f>
        <v/>
      </c>
      <c r="Z1141" s="55" t="str">
        <f>IF(AND(OR(LEFT(TH!L1141,2)="15",LEFT(TH!M1141,2)="15"),TK!$E$7=TH!F1141),"x","")</f>
        <v/>
      </c>
      <c r="AA1141" s="55" t="str">
        <f>IF(AND(B1141&lt;=NKC!$N$8,B1141&gt;=NKC!$M$8),"x","")</f>
        <v>x</v>
      </c>
    </row>
    <row r="1142" spans="1:29" ht="15.75" customHeight="1">
      <c r="A1142" s="219" t="str">
        <f>IF(B1142&lt;&gt;"",IF(AND(B1142&gt;=_TM1,B1142&lt;=_TM2,OR(TH!L1142="1111",TH!M1142="1111")),TH!D1142,""),"")</f>
        <v/>
      </c>
      <c r="B1142" s="36">
        <f t="shared" si="39"/>
        <v>5</v>
      </c>
      <c r="C1142" s="205">
        <f t="shared" si="50"/>
        <v>41053</v>
      </c>
      <c r="D1142" s="205"/>
      <c r="E1142" s="205">
        <v>41053</v>
      </c>
      <c r="F1142" s="206" t="s">
        <v>1348</v>
      </c>
      <c r="G1142" s="581" t="s">
        <v>1345</v>
      </c>
      <c r="H1142" s="207" t="s">
        <v>1346</v>
      </c>
      <c r="I1142" s="277">
        <v>450</v>
      </c>
      <c r="J1142" s="277">
        <v>21450</v>
      </c>
      <c r="K1142" s="38">
        <f t="shared" si="49"/>
        <v>9652500</v>
      </c>
      <c r="L1142" s="208" t="s">
        <v>311</v>
      </c>
      <c r="M1142" s="208" t="s">
        <v>208</v>
      </c>
      <c r="N1142" s="55" t="str">
        <f>IF(AND('331-CT'!$E$7=TH!H1142,OR(L1142="331",M1142="331")),"x","")</f>
        <v/>
      </c>
      <c r="O1142" s="55" t="str">
        <f>IF(AND($B1142&gt;='111'!$N$11,$B1142&lt;='111'!$O$11,OR($L1142=$O$7,$M1142=$O$7)),"x","")</f>
        <v/>
      </c>
      <c r="P1142" s="55" t="str">
        <f>IF(AND($L1142=$O$7,$B1142&lt;'111'!$N$11),"x","")</f>
        <v/>
      </c>
      <c r="Q1142" s="55" t="str">
        <f>IF(AND($M1142=$O$7,$B1142&lt;'111'!$N$11),"x","")</f>
        <v/>
      </c>
      <c r="R1142" s="55" t="str">
        <f>IF(ISERROR(FIND('112'!$M$9,G1142,1)),"",IF((AND(FIND('112'!$M$9,G1142,1)&gt;=1,$B1142&gt;='112'!$N$8,$B1142&lt;='112'!$O$8,OR($L1142='112'!$I$6,$M1142='112'!$I$6))),"x",""))</f>
        <v/>
      </c>
      <c r="S1142" s="55" t="str">
        <f>IF(ISERROR(FIND('112'!$M$9,G1142,1)),"",IF((AND(LEFT(G1142,2)=LEFT('112'!$M$9,2),B1142&lt;'112'!$N$8,$L1142='112'!$I$6)),"x",""))</f>
        <v/>
      </c>
      <c r="T1142" s="55" t="str">
        <f>IF(ISERROR(FIND('112'!$M$9,G1142,1)),"",IF((AND(RIGHT(G1142,2)=RIGHT('112'!$M$9,2),B1142&lt;'112'!$N$8,$M1142='112'!$I$6)),"x",""))</f>
        <v/>
      </c>
      <c r="U1142" s="55" t="str">
        <f>IF(AND('3411-CT'!$F$9=H1142,OR(LEFT(L1142,3)=$U$7,LEFT(M1142,3)=$U$7)),"x","")</f>
        <v/>
      </c>
      <c r="V1142" s="55" t="str">
        <f>IF(OR(TH!L1142=TH!$V$7,M1142=TH!$V$7),"x","")</f>
        <v/>
      </c>
      <c r="W1142" s="55" t="str">
        <f>IF(AND(OR(L1142="131",M1142="131"),H1142='131-CT'!$E$7),"x","")</f>
        <v/>
      </c>
      <c r="X1142" s="55" t="str">
        <f>IF(AND(B1142&gt;='IN-NX'!$P$3,B1142&lt;='IN-NX'!$Q$3,'IN-NX'!$D$7=D1142,OR(LEFT(TH!L1142,2)="15",LEFT(TH!M1142,2)="15")),"x","")</f>
        <v/>
      </c>
      <c r="Y1142" s="55" t="str">
        <f>IF(AND(OR(LEFT(TH!L1142,2)="15",LEFT(TH!M1142,2)="15"),'152-CT'!$J$8=TH!F1142),"x","")</f>
        <v/>
      </c>
      <c r="Z1142" s="55" t="str">
        <f>IF(AND(OR(LEFT(TH!L1142,2)="15",LEFT(TH!M1142,2)="15"),TK!$E$7=TH!F1142),"x","")</f>
        <v/>
      </c>
      <c r="AA1142" s="55" t="str">
        <f>IF(AND(B1142&lt;=NKC!$N$8,B1142&gt;=NKC!$M$8),"x","")</f>
        <v>x</v>
      </c>
    </row>
    <row r="1143" spans="1:29" ht="15.75" customHeight="1">
      <c r="A1143" s="219" t="str">
        <f>IF(B1143&lt;&gt;"",IF(AND(B1143&gt;=_TM1,B1143&lt;=_TM2,OR(TH!L1143="1111",TH!M1143="1111")),TH!D1143,""),"")</f>
        <v/>
      </c>
      <c r="B1143" s="36">
        <f t="shared" si="39"/>
        <v>5</v>
      </c>
      <c r="C1143" s="205">
        <f t="shared" si="50"/>
        <v>41053</v>
      </c>
      <c r="D1143" s="205"/>
      <c r="E1143" s="205">
        <v>41053</v>
      </c>
      <c r="F1143" s="206" t="s">
        <v>1185</v>
      </c>
      <c r="G1143" s="581" t="s">
        <v>1345</v>
      </c>
      <c r="H1143" s="207" t="s">
        <v>1346</v>
      </c>
      <c r="I1143" s="277"/>
      <c r="J1143" s="277"/>
      <c r="K1143" s="38">
        <v>3326400</v>
      </c>
      <c r="L1143" s="208" t="s">
        <v>311</v>
      </c>
      <c r="M1143" s="208" t="s">
        <v>549</v>
      </c>
      <c r="N1143" s="55" t="str">
        <f>IF(AND('331-CT'!$E$7=TH!H1143,OR(L1143="331",M1143="331")),"x","")</f>
        <v/>
      </c>
      <c r="O1143" s="55" t="str">
        <f>IF(AND($B1143&gt;='111'!$N$11,$B1143&lt;='111'!$O$11,OR($L1143=$O$7,$M1143=$O$7)),"x","")</f>
        <v/>
      </c>
      <c r="P1143" s="55" t="str">
        <f>IF(AND($L1143=$O$7,$B1143&lt;'111'!$N$11),"x","")</f>
        <v/>
      </c>
      <c r="Q1143" s="55" t="str">
        <f>IF(AND($M1143=$O$7,$B1143&lt;'111'!$N$11),"x","")</f>
        <v/>
      </c>
      <c r="R1143" s="55" t="str">
        <f>IF(ISERROR(FIND('112'!$M$9,G1143,1)),"",IF((AND(FIND('112'!$M$9,G1143,1)&gt;=1,$B1143&gt;='112'!$N$8,$B1143&lt;='112'!$O$8,OR($L1143='112'!$I$6,$M1143='112'!$I$6))),"x",""))</f>
        <v/>
      </c>
      <c r="S1143" s="55" t="str">
        <f>IF(ISERROR(FIND('112'!$M$9,G1143,1)),"",IF((AND(LEFT(G1143,2)=LEFT('112'!$M$9,2),B1143&lt;'112'!$N$8,$L1143='112'!$I$6)),"x",""))</f>
        <v/>
      </c>
      <c r="T1143" s="55" t="str">
        <f>IF(ISERROR(FIND('112'!$M$9,G1143,1)),"",IF((AND(RIGHT(G1143,2)=RIGHT('112'!$M$9,2),B1143&lt;'112'!$N$8,$M1143='112'!$I$6)),"x",""))</f>
        <v/>
      </c>
      <c r="U1143" s="55" t="str">
        <f>IF(AND('3411-CT'!$F$9=H1143,OR(LEFT(L1143,3)=$U$7,LEFT(M1143,3)=$U$7)),"x","")</f>
        <v/>
      </c>
      <c r="V1143" s="55" t="str">
        <f>IF(OR(TH!L1143=TH!$V$7,M1143=TH!$V$7),"x","")</f>
        <v/>
      </c>
      <c r="W1143" s="55" t="str">
        <f>IF(AND(OR(L1143="131",M1143="131"),H1143='131-CT'!$E$7),"x","")</f>
        <v/>
      </c>
      <c r="X1143" s="55" t="str">
        <f>IF(AND(B1143&gt;='IN-NX'!$P$3,B1143&lt;='IN-NX'!$Q$3,'IN-NX'!$D$7=D1143,OR(LEFT(TH!L1143,2)="15",LEFT(TH!M1143,2)="15")),"x","")</f>
        <v/>
      </c>
      <c r="Y1143" s="55" t="str">
        <f>IF(AND(OR(LEFT(TH!L1143,2)="15",LEFT(TH!M1143,2)="15"),'152-CT'!$J$8=TH!F1143),"x","")</f>
        <v/>
      </c>
      <c r="Z1143" s="55" t="str">
        <f>IF(AND(OR(LEFT(TH!L1143,2)="15",LEFT(TH!M1143,2)="15"),TK!$E$7=TH!F1143),"x","")</f>
        <v/>
      </c>
      <c r="AA1143" s="55" t="str">
        <f>IF(AND(B1143&lt;=NKC!$N$8,B1143&gt;=NKC!$M$8),"x","")</f>
        <v>x</v>
      </c>
      <c r="AC1143" s="226"/>
    </row>
    <row r="1144" spans="1:29" ht="15.75" customHeight="1">
      <c r="A1144" s="219" t="str">
        <f>IF(B1144&lt;&gt;"",IF(AND(B1144&gt;=_TM1,B1144&lt;=_TM2,OR(TH!L1144="1111",TH!M1144="1111")),TH!D1144,""),"")</f>
        <v/>
      </c>
      <c r="B1144" s="36">
        <f t="shared" si="39"/>
        <v>5</v>
      </c>
      <c r="C1144" s="205">
        <f t="shared" si="50"/>
        <v>41053</v>
      </c>
      <c r="D1144" s="205"/>
      <c r="E1144" s="205">
        <v>41053</v>
      </c>
      <c r="F1144" s="206" t="s">
        <v>1349</v>
      </c>
      <c r="G1144" s="581" t="s">
        <v>1350</v>
      </c>
      <c r="H1144" s="48" t="s">
        <v>1137</v>
      </c>
      <c r="I1144" s="277">
        <v>300</v>
      </c>
      <c r="J1144" s="277">
        <v>27728</v>
      </c>
      <c r="K1144" s="38">
        <f t="shared" si="49"/>
        <v>8318400</v>
      </c>
      <c r="L1144" s="208" t="s">
        <v>311</v>
      </c>
      <c r="M1144" s="208" t="s">
        <v>208</v>
      </c>
      <c r="N1144" s="55" t="str">
        <f>IF(AND('331-CT'!$E$7=TH!H1144,OR(L1144="331",M1144="331")),"x","")</f>
        <v/>
      </c>
      <c r="O1144" s="55" t="str">
        <f>IF(AND($B1144&gt;='111'!$N$11,$B1144&lt;='111'!$O$11,OR($L1144=$O$7,$M1144=$O$7)),"x","")</f>
        <v/>
      </c>
      <c r="P1144" s="55" t="str">
        <f>IF(AND($L1144=$O$7,$B1144&lt;'111'!$N$11),"x","")</f>
        <v/>
      </c>
      <c r="Q1144" s="55" t="str">
        <f>IF(AND($M1144=$O$7,$B1144&lt;'111'!$N$11),"x","")</f>
        <v/>
      </c>
      <c r="R1144" s="55" t="str">
        <f>IF(ISERROR(FIND('112'!$M$9,G1144,1)),"",IF((AND(FIND('112'!$M$9,G1144,1)&gt;=1,$B1144&gt;='112'!$N$8,$B1144&lt;='112'!$O$8,OR($L1144='112'!$I$6,$M1144='112'!$I$6))),"x",""))</f>
        <v/>
      </c>
      <c r="S1144" s="55" t="str">
        <f>IF(ISERROR(FIND('112'!$M$9,G1144,1)),"",IF((AND(LEFT(G1144,2)=LEFT('112'!$M$9,2),B1144&lt;'112'!$N$8,$L1144='112'!$I$6)),"x",""))</f>
        <v/>
      </c>
      <c r="T1144" s="55" t="str">
        <f>IF(ISERROR(FIND('112'!$M$9,G1144,1)),"",IF((AND(RIGHT(G1144,2)=RIGHT('112'!$M$9,2),B1144&lt;'112'!$N$8,$M1144='112'!$I$6)),"x",""))</f>
        <v/>
      </c>
      <c r="U1144" s="55" t="str">
        <f>IF(AND('3411-CT'!$F$9=H1144,OR(LEFT(L1144,3)=$U$7,LEFT(M1144,3)=$U$7)),"x","")</f>
        <v/>
      </c>
      <c r="V1144" s="55" t="str">
        <f>IF(OR(TH!L1144=TH!$V$7,M1144=TH!$V$7),"x","")</f>
        <v/>
      </c>
      <c r="W1144" s="55" t="str">
        <f>IF(AND(OR(L1144="131",M1144="131"),H1144='131-CT'!$E$7),"x","")</f>
        <v/>
      </c>
      <c r="X1144" s="55" t="str">
        <f>IF(AND(B1144&gt;='IN-NX'!$P$3,B1144&lt;='IN-NX'!$Q$3,'IN-NX'!$D$7=D1144,OR(LEFT(TH!L1144,2)="15",LEFT(TH!M1144,2)="15")),"x","")</f>
        <v/>
      </c>
      <c r="Y1144" s="55" t="str">
        <f>IF(AND(OR(LEFT(TH!L1144,2)="15",LEFT(TH!M1144,2)="15"),'152-CT'!$J$8=TH!F1144),"x","")</f>
        <v/>
      </c>
      <c r="Z1144" s="55" t="str">
        <f>IF(AND(OR(LEFT(TH!L1144,2)="15",LEFT(TH!M1144,2)="15"),TK!$E$7=TH!F1144),"x","")</f>
        <v/>
      </c>
      <c r="AA1144" s="55" t="str">
        <f>IF(AND(B1144&lt;=NKC!$N$8,B1144&gt;=NKC!$M$8),"x","")</f>
        <v>x</v>
      </c>
    </row>
    <row r="1145" spans="1:29" ht="15.75" customHeight="1">
      <c r="A1145" s="219" t="str">
        <f>IF(B1145&lt;&gt;"",IF(AND(B1145&gt;=_TM1,B1145&lt;=_TM2,OR(TH!L1145="1111",TH!M1145="1111")),TH!D1145,""),"")</f>
        <v/>
      </c>
      <c r="B1145" s="36">
        <f t="shared" si="39"/>
        <v>5</v>
      </c>
      <c r="C1145" s="205">
        <f t="shared" si="50"/>
        <v>41053</v>
      </c>
      <c r="D1145" s="205"/>
      <c r="E1145" s="205">
        <v>41053</v>
      </c>
      <c r="F1145" s="206" t="s">
        <v>1351</v>
      </c>
      <c r="G1145" s="581" t="s">
        <v>1350</v>
      </c>
      <c r="H1145" s="48" t="s">
        <v>1137</v>
      </c>
      <c r="I1145" s="277">
        <v>500</v>
      </c>
      <c r="J1145" s="277">
        <v>19692</v>
      </c>
      <c r="K1145" s="38">
        <f t="shared" si="49"/>
        <v>9846000</v>
      </c>
      <c r="L1145" s="208" t="s">
        <v>311</v>
      </c>
      <c r="M1145" s="208" t="s">
        <v>208</v>
      </c>
      <c r="N1145" s="55" t="str">
        <f>IF(AND('331-CT'!$E$7=TH!H1145,OR(L1145="331",M1145="331")),"x","")</f>
        <v/>
      </c>
      <c r="O1145" s="55" t="str">
        <f>IF(AND($B1145&gt;='111'!$N$11,$B1145&lt;='111'!$O$11,OR($L1145=$O$7,$M1145=$O$7)),"x","")</f>
        <v/>
      </c>
      <c r="P1145" s="55" t="str">
        <f>IF(AND($L1145=$O$7,$B1145&lt;'111'!$N$11),"x","")</f>
        <v/>
      </c>
      <c r="Q1145" s="55" t="str">
        <f>IF(AND($M1145=$O$7,$B1145&lt;'111'!$N$11),"x","")</f>
        <v/>
      </c>
      <c r="R1145" s="55" t="str">
        <f>IF(ISERROR(FIND('112'!$M$9,G1145,1)),"",IF((AND(FIND('112'!$M$9,G1145,1)&gt;=1,$B1145&gt;='112'!$N$8,$B1145&lt;='112'!$O$8,OR($L1145='112'!$I$6,$M1145='112'!$I$6))),"x",""))</f>
        <v/>
      </c>
      <c r="S1145" s="55" t="str">
        <f>IF(ISERROR(FIND('112'!$M$9,G1145,1)),"",IF((AND(LEFT(G1145,2)=LEFT('112'!$M$9,2),B1145&lt;'112'!$N$8,$L1145='112'!$I$6)),"x",""))</f>
        <v/>
      </c>
      <c r="T1145" s="55" t="str">
        <f>IF(ISERROR(FIND('112'!$M$9,G1145,1)),"",IF((AND(RIGHT(G1145,2)=RIGHT('112'!$M$9,2),B1145&lt;'112'!$N$8,$M1145='112'!$I$6)),"x",""))</f>
        <v/>
      </c>
      <c r="U1145" s="55" t="str">
        <f>IF(AND('3411-CT'!$F$9=H1145,OR(LEFT(L1145,3)=$U$7,LEFT(M1145,3)=$U$7)),"x","")</f>
        <v/>
      </c>
      <c r="V1145" s="55" t="str">
        <f>IF(OR(TH!L1145=TH!$V$7,M1145=TH!$V$7),"x","")</f>
        <v/>
      </c>
      <c r="W1145" s="55" t="str">
        <f>IF(AND(OR(L1145="131",M1145="131"),H1145='131-CT'!$E$7),"x","")</f>
        <v/>
      </c>
      <c r="X1145" s="55" t="str">
        <f>IF(AND(B1145&gt;='IN-NX'!$P$3,B1145&lt;='IN-NX'!$Q$3,'IN-NX'!$D$7=D1145,OR(LEFT(TH!L1145,2)="15",LEFT(TH!M1145,2)="15")),"x","")</f>
        <v/>
      </c>
      <c r="Y1145" s="55" t="str">
        <f>IF(AND(OR(LEFT(TH!L1145,2)="15",LEFT(TH!M1145,2)="15"),'152-CT'!$J$8=TH!F1145),"x","")</f>
        <v/>
      </c>
      <c r="Z1145" s="55" t="str">
        <f>IF(AND(OR(LEFT(TH!L1145,2)="15",LEFT(TH!M1145,2)="15"),TK!$E$7=TH!F1145),"x","")</f>
        <v/>
      </c>
      <c r="AA1145" s="55" t="str">
        <f>IF(AND(B1145&lt;=NKC!$N$8,B1145&gt;=NKC!$M$8),"x","")</f>
        <v>x</v>
      </c>
    </row>
    <row r="1146" spans="1:29" ht="15.75" customHeight="1">
      <c r="A1146" s="219" t="str">
        <f>IF(B1146&lt;&gt;"",IF(AND(B1146&gt;=_TM1,B1146&lt;=_TM2,OR(TH!L1146="1111",TH!M1146="1111")),TH!D1146,""),"")</f>
        <v/>
      </c>
      <c r="B1146" s="36">
        <f t="shared" si="39"/>
        <v>5</v>
      </c>
      <c r="C1146" s="205">
        <f t="shared" si="50"/>
        <v>41053</v>
      </c>
      <c r="D1146" s="205"/>
      <c r="E1146" s="205">
        <v>41053</v>
      </c>
      <c r="F1146" s="206" t="s">
        <v>1352</v>
      </c>
      <c r="G1146" s="581" t="s">
        <v>1350</v>
      </c>
      <c r="H1146" s="48" t="s">
        <v>1137</v>
      </c>
      <c r="I1146" s="277"/>
      <c r="J1146" s="277"/>
      <c r="K1146" s="38">
        <v>1816440</v>
      </c>
      <c r="L1146" s="208" t="s">
        <v>311</v>
      </c>
      <c r="M1146" s="208" t="s">
        <v>549</v>
      </c>
      <c r="N1146" s="55" t="str">
        <f>IF(AND('331-CT'!$E$7=TH!H1146,OR(L1146="331",M1146="331")),"x","")</f>
        <v/>
      </c>
      <c r="O1146" s="55" t="str">
        <f>IF(AND($B1146&gt;='111'!$N$11,$B1146&lt;='111'!$O$11,OR($L1146=$O$7,$M1146=$O$7)),"x","")</f>
        <v/>
      </c>
      <c r="P1146" s="55" t="str">
        <f>IF(AND($L1146=$O$7,$B1146&lt;'111'!$N$11),"x","")</f>
        <v/>
      </c>
      <c r="Q1146" s="55" t="str">
        <f>IF(AND($M1146=$O$7,$B1146&lt;'111'!$N$11),"x","")</f>
        <v/>
      </c>
      <c r="R1146" s="55" t="str">
        <f>IF(ISERROR(FIND('112'!$M$9,G1146,1)),"",IF((AND(FIND('112'!$M$9,G1146,1)&gt;=1,$B1146&gt;='112'!$N$8,$B1146&lt;='112'!$O$8,OR($L1146='112'!$I$6,$M1146='112'!$I$6))),"x",""))</f>
        <v/>
      </c>
      <c r="S1146" s="55" t="str">
        <f>IF(ISERROR(FIND('112'!$M$9,G1146,1)),"",IF((AND(LEFT(G1146,2)=LEFT('112'!$M$9,2),B1146&lt;'112'!$N$8,$L1146='112'!$I$6)),"x",""))</f>
        <v/>
      </c>
      <c r="T1146" s="55" t="str">
        <f>IF(ISERROR(FIND('112'!$M$9,G1146,1)),"",IF((AND(RIGHT(G1146,2)=RIGHT('112'!$M$9,2),B1146&lt;'112'!$N$8,$M1146='112'!$I$6)),"x",""))</f>
        <v/>
      </c>
      <c r="U1146" s="55" t="str">
        <f>IF(AND('3411-CT'!$F$9=H1146,OR(LEFT(L1146,3)=$U$7,LEFT(M1146,3)=$U$7)),"x","")</f>
        <v/>
      </c>
      <c r="V1146" s="55" t="str">
        <f>IF(OR(TH!L1146=TH!$V$7,M1146=TH!$V$7),"x","")</f>
        <v/>
      </c>
      <c r="W1146" s="55" t="str">
        <f>IF(AND(OR(L1146="131",M1146="131"),H1146='131-CT'!$E$7),"x","")</f>
        <v/>
      </c>
      <c r="X1146" s="55" t="str">
        <f>IF(AND(B1146&gt;='IN-NX'!$P$3,B1146&lt;='IN-NX'!$Q$3,'IN-NX'!$D$7=D1146,OR(LEFT(TH!L1146,2)="15",LEFT(TH!M1146,2)="15")),"x","")</f>
        <v/>
      </c>
      <c r="Y1146" s="55" t="str">
        <f>IF(AND(OR(LEFT(TH!L1146,2)="15",LEFT(TH!M1146,2)="15"),'152-CT'!$J$8=TH!F1146),"x","")</f>
        <v/>
      </c>
      <c r="Z1146" s="55" t="str">
        <f>IF(AND(OR(LEFT(TH!L1146,2)="15",LEFT(TH!M1146,2)="15"),TK!$E$7=TH!F1146),"x","")</f>
        <v/>
      </c>
      <c r="AA1146" s="55" t="str">
        <f>IF(AND(B1146&lt;=NKC!$N$8,B1146&gt;=NKC!$M$8),"x","")</f>
        <v>x</v>
      </c>
      <c r="AC1146" s="226"/>
    </row>
    <row r="1147" spans="1:29" ht="15.75" customHeight="1">
      <c r="A1147" s="219" t="str">
        <f>IF(B1147&lt;&gt;"",IF(AND(B1147&gt;=_TM1,B1147&lt;=_TM2,OR(TH!L1147="1111",TH!M1147="1111")),TH!D1147,""),"")</f>
        <v/>
      </c>
      <c r="B1147" s="36">
        <f t="shared" si="39"/>
        <v>5</v>
      </c>
      <c r="C1147" s="205">
        <f t="shared" si="50"/>
        <v>41054</v>
      </c>
      <c r="D1147" s="205"/>
      <c r="E1147" s="205">
        <v>41054</v>
      </c>
      <c r="F1147" s="206" t="s">
        <v>1353</v>
      </c>
      <c r="G1147" s="581" t="s">
        <v>1354</v>
      </c>
      <c r="H1147" s="48" t="s">
        <v>1137</v>
      </c>
      <c r="I1147" s="277">
        <v>500</v>
      </c>
      <c r="J1147" s="277">
        <v>15090</v>
      </c>
      <c r="K1147" s="38">
        <f t="shared" si="49"/>
        <v>7545000</v>
      </c>
      <c r="L1147" s="208" t="s">
        <v>311</v>
      </c>
      <c r="M1147" s="208" t="s">
        <v>208</v>
      </c>
      <c r="N1147" s="55" t="str">
        <f>IF(AND('331-CT'!$E$7=TH!H1147,OR(L1147="331",M1147="331")),"x","")</f>
        <v/>
      </c>
      <c r="O1147" s="55" t="str">
        <f>IF(AND($B1147&gt;='111'!$N$11,$B1147&lt;='111'!$O$11,OR($L1147=$O$7,$M1147=$O$7)),"x","")</f>
        <v/>
      </c>
      <c r="P1147" s="55" t="str">
        <f>IF(AND($L1147=$O$7,$B1147&lt;'111'!$N$11),"x","")</f>
        <v/>
      </c>
      <c r="Q1147" s="55" t="str">
        <f>IF(AND($M1147=$O$7,$B1147&lt;'111'!$N$11),"x","")</f>
        <v/>
      </c>
      <c r="R1147" s="55" t="str">
        <f>IF(ISERROR(FIND('112'!$M$9,G1147,1)),"",IF((AND(FIND('112'!$M$9,G1147,1)&gt;=1,$B1147&gt;='112'!$N$8,$B1147&lt;='112'!$O$8,OR($L1147='112'!$I$6,$M1147='112'!$I$6))),"x",""))</f>
        <v/>
      </c>
      <c r="S1147" s="55" t="str">
        <f>IF(ISERROR(FIND('112'!$M$9,G1147,1)),"",IF((AND(LEFT(G1147,2)=LEFT('112'!$M$9,2),B1147&lt;'112'!$N$8,$L1147='112'!$I$6)),"x",""))</f>
        <v/>
      </c>
      <c r="T1147" s="55" t="str">
        <f>IF(ISERROR(FIND('112'!$M$9,G1147,1)),"",IF((AND(RIGHT(G1147,2)=RIGHT('112'!$M$9,2),B1147&lt;'112'!$N$8,$M1147='112'!$I$6)),"x",""))</f>
        <v/>
      </c>
      <c r="U1147" s="55" t="str">
        <f>IF(AND('3411-CT'!$F$9=H1147,OR(LEFT(L1147,3)=$U$7,LEFT(M1147,3)=$U$7)),"x","")</f>
        <v/>
      </c>
      <c r="V1147" s="55" t="str">
        <f>IF(OR(TH!L1147=TH!$V$7,M1147=TH!$V$7),"x","")</f>
        <v/>
      </c>
      <c r="W1147" s="55" t="str">
        <f>IF(AND(OR(L1147="131",M1147="131"),H1147='131-CT'!$E$7),"x","")</f>
        <v/>
      </c>
      <c r="X1147" s="55" t="str">
        <f>IF(AND(B1147&gt;='IN-NX'!$P$3,B1147&lt;='IN-NX'!$Q$3,'IN-NX'!$D$7=D1147,OR(LEFT(TH!L1147,2)="15",LEFT(TH!M1147,2)="15")),"x","")</f>
        <v/>
      </c>
      <c r="Y1147" s="55" t="str">
        <f>IF(AND(OR(LEFT(TH!L1147,2)="15",LEFT(TH!M1147,2)="15"),'152-CT'!$J$8=TH!F1147),"x","")</f>
        <v/>
      </c>
      <c r="Z1147" s="55" t="str">
        <f>IF(AND(OR(LEFT(TH!L1147,2)="15",LEFT(TH!M1147,2)="15"),TK!$E$7=TH!F1147),"x","")</f>
        <v/>
      </c>
      <c r="AA1147" s="55" t="str">
        <f>IF(AND(B1147&lt;=NKC!$N$8,B1147&gt;=NKC!$M$8),"x","")</f>
        <v>x</v>
      </c>
    </row>
    <row r="1148" spans="1:29" ht="15.75" customHeight="1">
      <c r="A1148" s="219" t="str">
        <f>IF(B1148&lt;&gt;"",IF(AND(B1148&gt;=_TM1,B1148&lt;=_TM2,OR(TH!L1148="1111",TH!M1148="1111")),TH!D1148,""),"")</f>
        <v/>
      </c>
      <c r="B1148" s="36">
        <f t="shared" si="39"/>
        <v>5</v>
      </c>
      <c r="C1148" s="205">
        <f t="shared" si="50"/>
        <v>41054</v>
      </c>
      <c r="D1148" s="205"/>
      <c r="E1148" s="205">
        <v>41054</v>
      </c>
      <c r="F1148" s="206" t="s">
        <v>1355</v>
      </c>
      <c r="G1148" s="581" t="s">
        <v>1354</v>
      </c>
      <c r="H1148" s="48" t="s">
        <v>1137</v>
      </c>
      <c r="I1148" s="277">
        <v>500</v>
      </c>
      <c r="J1148" s="277">
        <v>17919</v>
      </c>
      <c r="K1148" s="38">
        <f t="shared" si="49"/>
        <v>8959500</v>
      </c>
      <c r="L1148" s="208" t="s">
        <v>311</v>
      </c>
      <c r="M1148" s="208" t="s">
        <v>208</v>
      </c>
      <c r="N1148" s="55" t="str">
        <f>IF(AND('331-CT'!$E$7=TH!H1148,OR(L1148="331",M1148="331")),"x","")</f>
        <v/>
      </c>
      <c r="O1148" s="55" t="str">
        <f>IF(AND($B1148&gt;='111'!$N$11,$B1148&lt;='111'!$O$11,OR($L1148=$O$7,$M1148=$O$7)),"x","")</f>
        <v/>
      </c>
      <c r="P1148" s="55" t="str">
        <f>IF(AND($L1148=$O$7,$B1148&lt;'111'!$N$11),"x","")</f>
        <v/>
      </c>
      <c r="Q1148" s="55" t="str">
        <f>IF(AND($M1148=$O$7,$B1148&lt;'111'!$N$11),"x","")</f>
        <v/>
      </c>
      <c r="R1148" s="55" t="str">
        <f>IF(ISERROR(FIND('112'!$M$9,G1148,1)),"",IF((AND(FIND('112'!$M$9,G1148,1)&gt;=1,$B1148&gt;='112'!$N$8,$B1148&lt;='112'!$O$8,OR($L1148='112'!$I$6,$M1148='112'!$I$6))),"x",""))</f>
        <v/>
      </c>
      <c r="S1148" s="55" t="str">
        <f>IF(ISERROR(FIND('112'!$M$9,G1148,1)),"",IF((AND(LEFT(G1148,2)=LEFT('112'!$M$9,2),B1148&lt;'112'!$N$8,$L1148='112'!$I$6)),"x",""))</f>
        <v/>
      </c>
      <c r="T1148" s="55" t="str">
        <f>IF(ISERROR(FIND('112'!$M$9,G1148,1)),"",IF((AND(RIGHT(G1148,2)=RIGHT('112'!$M$9,2),B1148&lt;'112'!$N$8,$M1148='112'!$I$6)),"x",""))</f>
        <v/>
      </c>
      <c r="U1148" s="55" t="str">
        <f>IF(AND('3411-CT'!$F$9=H1148,OR(LEFT(L1148,3)=$U$7,LEFT(M1148,3)=$U$7)),"x","")</f>
        <v/>
      </c>
      <c r="V1148" s="55" t="str">
        <f>IF(OR(TH!L1148=TH!$V$7,M1148=TH!$V$7),"x","")</f>
        <v/>
      </c>
      <c r="W1148" s="55" t="str">
        <f>IF(AND(OR(L1148="131",M1148="131"),H1148='131-CT'!$E$7),"x","")</f>
        <v/>
      </c>
      <c r="X1148" s="55" t="str">
        <f>IF(AND(B1148&gt;='IN-NX'!$P$3,B1148&lt;='IN-NX'!$Q$3,'IN-NX'!$D$7=D1148,OR(LEFT(TH!L1148,2)="15",LEFT(TH!M1148,2)="15")),"x","")</f>
        <v/>
      </c>
      <c r="Y1148" s="55" t="str">
        <f>IF(AND(OR(LEFT(TH!L1148,2)="15",LEFT(TH!M1148,2)="15"),'152-CT'!$J$8=TH!F1148),"x","")</f>
        <v/>
      </c>
      <c r="Z1148" s="55" t="str">
        <f>IF(AND(OR(LEFT(TH!L1148,2)="15",LEFT(TH!M1148,2)="15"),TK!$E$7=TH!F1148),"x","")</f>
        <v/>
      </c>
      <c r="AA1148" s="55" t="str">
        <f>IF(AND(B1148&lt;=NKC!$N$8,B1148&gt;=NKC!$M$8),"x","")</f>
        <v>x</v>
      </c>
    </row>
    <row r="1149" spans="1:29" ht="15.75" customHeight="1">
      <c r="A1149" s="219" t="str">
        <f>IF(B1149&lt;&gt;"",IF(AND(B1149&gt;=_TM1,B1149&lt;=_TM2,OR(TH!L1149="1111",TH!M1149="1111")),TH!D1149,""),"")</f>
        <v/>
      </c>
      <c r="B1149" s="36">
        <f t="shared" si="39"/>
        <v>5</v>
      </c>
      <c r="C1149" s="205">
        <f t="shared" si="50"/>
        <v>41054</v>
      </c>
      <c r="D1149" s="205"/>
      <c r="E1149" s="205">
        <v>41054</v>
      </c>
      <c r="F1149" s="206" t="s">
        <v>1352</v>
      </c>
      <c r="G1149" s="581" t="s">
        <v>1354</v>
      </c>
      <c r="H1149" s="48" t="s">
        <v>1137</v>
      </c>
      <c r="I1149" s="277"/>
      <c r="J1149" s="277"/>
      <c r="K1149" s="38">
        <v>1650450</v>
      </c>
      <c r="L1149" s="208" t="s">
        <v>311</v>
      </c>
      <c r="M1149" s="208" t="s">
        <v>549</v>
      </c>
      <c r="N1149" s="55" t="str">
        <f>IF(AND('331-CT'!$E$7=TH!H1149,OR(L1149="331",M1149="331")),"x","")</f>
        <v/>
      </c>
      <c r="O1149" s="55" t="str">
        <f>IF(AND($B1149&gt;='111'!$N$11,$B1149&lt;='111'!$O$11,OR($L1149=$O$7,$M1149=$O$7)),"x","")</f>
        <v/>
      </c>
      <c r="P1149" s="55" t="str">
        <f>IF(AND($L1149=$O$7,$B1149&lt;'111'!$N$11),"x","")</f>
        <v/>
      </c>
      <c r="Q1149" s="55" t="str">
        <f>IF(AND($M1149=$O$7,$B1149&lt;'111'!$N$11),"x","")</f>
        <v/>
      </c>
      <c r="R1149" s="55" t="str">
        <f>IF(ISERROR(FIND('112'!$M$9,G1149,1)),"",IF((AND(FIND('112'!$M$9,G1149,1)&gt;=1,$B1149&gt;='112'!$N$8,$B1149&lt;='112'!$O$8,OR($L1149='112'!$I$6,$M1149='112'!$I$6))),"x",""))</f>
        <v/>
      </c>
      <c r="S1149" s="55" t="str">
        <f>IF(ISERROR(FIND('112'!$M$9,G1149,1)),"",IF((AND(LEFT(G1149,2)=LEFT('112'!$M$9,2),B1149&lt;'112'!$N$8,$L1149='112'!$I$6)),"x",""))</f>
        <v/>
      </c>
      <c r="T1149" s="55" t="str">
        <f>IF(ISERROR(FIND('112'!$M$9,G1149,1)),"",IF((AND(RIGHT(G1149,2)=RIGHT('112'!$M$9,2),B1149&lt;'112'!$N$8,$M1149='112'!$I$6)),"x",""))</f>
        <v/>
      </c>
      <c r="U1149" s="55" t="str">
        <f>IF(AND('3411-CT'!$F$9=H1149,OR(LEFT(L1149,3)=$U$7,LEFT(M1149,3)=$U$7)),"x","")</f>
        <v/>
      </c>
      <c r="V1149" s="55" t="str">
        <f>IF(OR(TH!L1149=TH!$V$7,M1149=TH!$V$7),"x","")</f>
        <v/>
      </c>
      <c r="W1149" s="55" t="str">
        <f>IF(AND(OR(L1149="131",M1149="131"),H1149='131-CT'!$E$7),"x","")</f>
        <v/>
      </c>
      <c r="X1149" s="55" t="str">
        <f>IF(AND(B1149&gt;='IN-NX'!$P$3,B1149&lt;='IN-NX'!$Q$3,'IN-NX'!$D$7=D1149,OR(LEFT(TH!L1149,2)="15",LEFT(TH!M1149,2)="15")),"x","")</f>
        <v/>
      </c>
      <c r="Y1149" s="55" t="str">
        <f>IF(AND(OR(LEFT(TH!L1149,2)="15",LEFT(TH!M1149,2)="15"),'152-CT'!$J$8=TH!F1149),"x","")</f>
        <v/>
      </c>
      <c r="Z1149" s="55" t="str">
        <f>IF(AND(OR(LEFT(TH!L1149,2)="15",LEFT(TH!M1149,2)="15"),TK!$E$7=TH!F1149),"x","")</f>
        <v/>
      </c>
      <c r="AA1149" s="55" t="str">
        <f>IF(AND(B1149&lt;=NKC!$N$8,B1149&gt;=NKC!$M$8),"x","")</f>
        <v>x</v>
      </c>
      <c r="AC1149" s="226"/>
    </row>
    <row r="1150" spans="1:29" ht="15.75" customHeight="1">
      <c r="A1150" s="219" t="str">
        <f>IF(B1150&lt;&gt;"",IF(AND(B1150&gt;=_TM1,B1150&lt;=_TM2,OR(TH!L1150="1111",TH!M1150="1111")),TH!D1150,""),"")</f>
        <v/>
      </c>
      <c r="B1150" s="36">
        <f t="shared" si="39"/>
        <v>5</v>
      </c>
      <c r="C1150" s="205">
        <f t="shared" si="50"/>
        <v>41055</v>
      </c>
      <c r="D1150" s="205"/>
      <c r="E1150" s="205">
        <v>41055</v>
      </c>
      <c r="F1150" s="206" t="s">
        <v>1356</v>
      </c>
      <c r="G1150" s="581" t="s">
        <v>1357</v>
      </c>
      <c r="H1150" s="48" t="s">
        <v>1137</v>
      </c>
      <c r="I1150" s="277">
        <v>500</v>
      </c>
      <c r="J1150" s="277">
        <v>20786</v>
      </c>
      <c r="K1150" s="38">
        <f t="shared" si="49"/>
        <v>10393000</v>
      </c>
      <c r="L1150" s="208" t="s">
        <v>311</v>
      </c>
      <c r="M1150" s="208" t="s">
        <v>208</v>
      </c>
      <c r="N1150" s="55" t="str">
        <f>IF(AND('331-CT'!$E$7=TH!H1150,OR(L1150="331",M1150="331")),"x","")</f>
        <v/>
      </c>
      <c r="O1150" s="55" t="str">
        <f>IF(AND($B1150&gt;='111'!$N$11,$B1150&lt;='111'!$O$11,OR($L1150=$O$7,$M1150=$O$7)),"x","")</f>
        <v/>
      </c>
      <c r="P1150" s="55" t="str">
        <f>IF(AND($L1150=$O$7,$B1150&lt;'111'!$N$11),"x","")</f>
        <v/>
      </c>
      <c r="Q1150" s="55" t="str">
        <f>IF(AND($M1150=$O$7,$B1150&lt;'111'!$N$11),"x","")</f>
        <v/>
      </c>
      <c r="R1150" s="55" t="str">
        <f>IF(ISERROR(FIND('112'!$M$9,G1150,1)),"",IF((AND(FIND('112'!$M$9,G1150,1)&gt;=1,$B1150&gt;='112'!$N$8,$B1150&lt;='112'!$O$8,OR($L1150='112'!$I$6,$M1150='112'!$I$6))),"x",""))</f>
        <v/>
      </c>
      <c r="S1150" s="55" t="str">
        <f>IF(ISERROR(FIND('112'!$M$9,G1150,1)),"",IF((AND(LEFT(G1150,2)=LEFT('112'!$M$9,2),B1150&lt;'112'!$N$8,$L1150='112'!$I$6)),"x",""))</f>
        <v/>
      </c>
      <c r="T1150" s="55" t="str">
        <f>IF(ISERROR(FIND('112'!$M$9,G1150,1)),"",IF((AND(RIGHT(G1150,2)=RIGHT('112'!$M$9,2),B1150&lt;'112'!$N$8,$M1150='112'!$I$6)),"x",""))</f>
        <v/>
      </c>
      <c r="U1150" s="55" t="str">
        <f>IF(AND('3411-CT'!$F$9=H1150,OR(LEFT(L1150,3)=$U$7,LEFT(M1150,3)=$U$7)),"x","")</f>
        <v/>
      </c>
      <c r="V1150" s="55" t="str">
        <f>IF(OR(TH!L1150=TH!$V$7,M1150=TH!$V$7),"x","")</f>
        <v/>
      </c>
      <c r="W1150" s="55" t="str">
        <f>IF(AND(OR(L1150="131",M1150="131"),H1150='131-CT'!$E$7),"x","")</f>
        <v/>
      </c>
      <c r="X1150" s="55" t="str">
        <f>IF(AND(B1150&gt;='IN-NX'!$P$3,B1150&lt;='IN-NX'!$Q$3,'IN-NX'!$D$7=D1150,OR(LEFT(TH!L1150,2)="15",LEFT(TH!M1150,2)="15")),"x","")</f>
        <v/>
      </c>
      <c r="Y1150" s="55" t="str">
        <f>IF(AND(OR(LEFT(TH!L1150,2)="15",LEFT(TH!M1150,2)="15"),'152-CT'!$J$8=TH!F1150),"x","")</f>
        <v/>
      </c>
      <c r="Z1150" s="55" t="str">
        <f>IF(AND(OR(LEFT(TH!L1150,2)="15",LEFT(TH!M1150,2)="15"),TK!$E$7=TH!F1150),"x","")</f>
        <v/>
      </c>
      <c r="AA1150" s="55" t="str">
        <f>IF(AND(B1150&lt;=NKC!$N$8,B1150&gt;=NKC!$M$8),"x","")</f>
        <v>x</v>
      </c>
    </row>
    <row r="1151" spans="1:29" ht="15.75" customHeight="1">
      <c r="A1151" s="219" t="str">
        <f>IF(B1151&lt;&gt;"",IF(AND(B1151&gt;=_TM1,B1151&lt;=_TM2,OR(TH!L1151="1111",TH!M1151="1111")),TH!D1151,""),"")</f>
        <v/>
      </c>
      <c r="B1151" s="36">
        <f t="shared" si="39"/>
        <v>5</v>
      </c>
      <c r="C1151" s="205">
        <f t="shared" si="50"/>
        <v>41055</v>
      </c>
      <c r="D1151" s="205"/>
      <c r="E1151" s="205">
        <v>41055</v>
      </c>
      <c r="F1151" s="206" t="s">
        <v>1352</v>
      </c>
      <c r="G1151" s="581" t="s">
        <v>1357</v>
      </c>
      <c r="H1151" s="48" t="s">
        <v>1137</v>
      </c>
      <c r="I1151" s="277"/>
      <c r="J1151" s="277"/>
      <c r="K1151" s="38">
        <v>1039300</v>
      </c>
      <c r="L1151" s="208" t="s">
        <v>311</v>
      </c>
      <c r="M1151" s="208" t="s">
        <v>549</v>
      </c>
      <c r="N1151" s="55" t="str">
        <f>IF(AND('331-CT'!$E$7=TH!H1151,OR(L1151="331",M1151="331")),"x","")</f>
        <v/>
      </c>
      <c r="O1151" s="55" t="str">
        <f>IF(AND($B1151&gt;='111'!$N$11,$B1151&lt;='111'!$O$11,OR($L1151=$O$7,$M1151=$O$7)),"x","")</f>
        <v/>
      </c>
      <c r="P1151" s="55" t="str">
        <f>IF(AND($L1151=$O$7,$B1151&lt;'111'!$N$11),"x","")</f>
        <v/>
      </c>
      <c r="Q1151" s="55" t="str">
        <f>IF(AND($M1151=$O$7,$B1151&lt;'111'!$N$11),"x","")</f>
        <v/>
      </c>
      <c r="R1151" s="55" t="str">
        <f>IF(ISERROR(FIND('112'!$M$9,G1151,1)),"",IF((AND(FIND('112'!$M$9,G1151,1)&gt;=1,$B1151&gt;='112'!$N$8,$B1151&lt;='112'!$O$8,OR($L1151='112'!$I$6,$M1151='112'!$I$6))),"x",""))</f>
        <v/>
      </c>
      <c r="S1151" s="55" t="str">
        <f>IF(ISERROR(FIND('112'!$M$9,G1151,1)),"",IF((AND(LEFT(G1151,2)=LEFT('112'!$M$9,2),B1151&lt;'112'!$N$8,$L1151='112'!$I$6)),"x",""))</f>
        <v/>
      </c>
      <c r="T1151" s="55" t="str">
        <f>IF(ISERROR(FIND('112'!$M$9,G1151,1)),"",IF((AND(RIGHT(G1151,2)=RIGHT('112'!$M$9,2),B1151&lt;'112'!$N$8,$M1151='112'!$I$6)),"x",""))</f>
        <v/>
      </c>
      <c r="U1151" s="55" t="str">
        <f>IF(AND('3411-CT'!$F$9=H1151,OR(LEFT(L1151,3)=$U$7,LEFT(M1151,3)=$U$7)),"x","")</f>
        <v/>
      </c>
      <c r="V1151" s="55" t="str">
        <f>IF(OR(TH!L1151=TH!$V$7,M1151=TH!$V$7),"x","")</f>
        <v/>
      </c>
      <c r="W1151" s="55" t="str">
        <f>IF(AND(OR(L1151="131",M1151="131"),H1151='131-CT'!$E$7),"x","")</f>
        <v/>
      </c>
      <c r="X1151" s="55" t="str">
        <f>IF(AND(B1151&gt;='IN-NX'!$P$3,B1151&lt;='IN-NX'!$Q$3,'IN-NX'!$D$7=D1151,OR(LEFT(TH!L1151,2)="15",LEFT(TH!M1151,2)="15")),"x","")</f>
        <v/>
      </c>
      <c r="Y1151" s="55" t="str">
        <f>IF(AND(OR(LEFT(TH!L1151,2)="15",LEFT(TH!M1151,2)="15"),'152-CT'!$J$8=TH!F1151),"x","")</f>
        <v/>
      </c>
      <c r="Z1151" s="55" t="str">
        <f>IF(AND(OR(LEFT(TH!L1151,2)="15",LEFT(TH!M1151,2)="15"),TK!$E$7=TH!F1151),"x","")</f>
        <v/>
      </c>
      <c r="AA1151" s="55" t="str">
        <f>IF(AND(B1151&lt;=NKC!$N$8,B1151&gt;=NKC!$M$8),"x","")</f>
        <v>x</v>
      </c>
      <c r="AC1151" s="226"/>
    </row>
    <row r="1152" spans="1:29" ht="15.75" customHeight="1">
      <c r="A1152" s="219" t="str">
        <f>IF(B1152&lt;&gt;"",IF(AND(B1152&gt;=_TM1,B1152&lt;=_TM2,OR(TH!L1152="1111",TH!M1152="1111")),TH!D1152,""),"")</f>
        <v/>
      </c>
      <c r="B1152" s="36">
        <f t="shared" si="39"/>
        <v>5</v>
      </c>
      <c r="C1152" s="205">
        <f t="shared" si="50"/>
        <v>41056</v>
      </c>
      <c r="D1152" s="205"/>
      <c r="E1152" s="205">
        <v>41056</v>
      </c>
      <c r="F1152" s="206" t="s">
        <v>1358</v>
      </c>
      <c r="G1152" s="581" t="s">
        <v>1359</v>
      </c>
      <c r="H1152" s="48" t="s">
        <v>1137</v>
      </c>
      <c r="I1152" s="277">
        <v>300</v>
      </c>
      <c r="J1152" s="277">
        <v>32368</v>
      </c>
      <c r="K1152" s="38">
        <f t="shared" si="49"/>
        <v>9710400</v>
      </c>
      <c r="L1152" s="208" t="s">
        <v>311</v>
      </c>
      <c r="M1152" s="208" t="s">
        <v>208</v>
      </c>
      <c r="N1152" s="55" t="str">
        <f>IF(AND('331-CT'!$E$7=TH!H1152,OR(L1152="331",M1152="331")),"x","")</f>
        <v/>
      </c>
      <c r="O1152" s="55" t="str">
        <f>IF(AND($B1152&gt;='111'!$N$11,$B1152&lt;='111'!$O$11,OR($L1152=$O$7,$M1152=$O$7)),"x","")</f>
        <v/>
      </c>
      <c r="P1152" s="55" t="str">
        <f>IF(AND($L1152=$O$7,$B1152&lt;'111'!$N$11),"x","")</f>
        <v/>
      </c>
      <c r="Q1152" s="55" t="str">
        <f>IF(AND($M1152=$O$7,$B1152&lt;'111'!$N$11),"x","")</f>
        <v/>
      </c>
      <c r="R1152" s="55" t="str">
        <f>IF(ISERROR(FIND('112'!$M$9,G1152,1)),"",IF((AND(FIND('112'!$M$9,G1152,1)&gt;=1,$B1152&gt;='112'!$N$8,$B1152&lt;='112'!$O$8,OR($L1152='112'!$I$6,$M1152='112'!$I$6))),"x",""))</f>
        <v/>
      </c>
      <c r="S1152" s="55" t="str">
        <f>IF(ISERROR(FIND('112'!$M$9,G1152,1)),"",IF((AND(LEFT(G1152,2)=LEFT('112'!$M$9,2),B1152&lt;'112'!$N$8,$L1152='112'!$I$6)),"x",""))</f>
        <v/>
      </c>
      <c r="T1152" s="55" t="str">
        <f>IF(ISERROR(FIND('112'!$M$9,G1152,1)),"",IF((AND(RIGHT(G1152,2)=RIGHT('112'!$M$9,2),B1152&lt;'112'!$N$8,$M1152='112'!$I$6)),"x",""))</f>
        <v/>
      </c>
      <c r="U1152" s="55" t="str">
        <f>IF(AND('3411-CT'!$F$9=H1152,OR(LEFT(L1152,3)=$U$7,LEFT(M1152,3)=$U$7)),"x","")</f>
        <v/>
      </c>
      <c r="V1152" s="55" t="str">
        <f>IF(OR(TH!L1152=TH!$V$7,M1152=TH!$V$7),"x","")</f>
        <v/>
      </c>
      <c r="W1152" s="55" t="str">
        <f>IF(AND(OR(L1152="131",M1152="131"),H1152='131-CT'!$E$7),"x","")</f>
        <v/>
      </c>
      <c r="X1152" s="55" t="str">
        <f>IF(AND(B1152&gt;='IN-NX'!$P$3,B1152&lt;='IN-NX'!$Q$3,'IN-NX'!$D$7=D1152,OR(LEFT(TH!L1152,2)="15",LEFT(TH!M1152,2)="15")),"x","")</f>
        <v/>
      </c>
      <c r="Y1152" s="55" t="str">
        <f>IF(AND(OR(LEFT(TH!L1152,2)="15",LEFT(TH!M1152,2)="15"),'152-CT'!$J$8=TH!F1152),"x","")</f>
        <v/>
      </c>
      <c r="Z1152" s="55" t="str">
        <f>IF(AND(OR(LEFT(TH!L1152,2)="15",LEFT(TH!M1152,2)="15"),TK!$E$7=TH!F1152),"x","")</f>
        <v/>
      </c>
      <c r="AA1152" s="55" t="str">
        <f>IF(AND(B1152&lt;=NKC!$N$8,B1152&gt;=NKC!$M$8),"x","")</f>
        <v>x</v>
      </c>
    </row>
    <row r="1153" spans="1:29" ht="15.75" customHeight="1">
      <c r="A1153" s="219" t="str">
        <f>IF(B1153&lt;&gt;"",IF(AND(B1153&gt;=_TM1,B1153&lt;=_TM2,OR(TH!L1153="1111",TH!M1153="1111")),TH!D1153,""),"")</f>
        <v/>
      </c>
      <c r="B1153" s="36">
        <f t="shared" si="39"/>
        <v>5</v>
      </c>
      <c r="C1153" s="205">
        <f t="shared" si="50"/>
        <v>41056</v>
      </c>
      <c r="D1153" s="205"/>
      <c r="E1153" s="205">
        <v>41056</v>
      </c>
      <c r="F1153" s="206" t="s">
        <v>1352</v>
      </c>
      <c r="G1153" s="581" t="s">
        <v>1359</v>
      </c>
      <c r="H1153" s="48" t="s">
        <v>1137</v>
      </c>
      <c r="I1153" s="277"/>
      <c r="J1153" s="277"/>
      <c r="K1153" s="38">
        <v>971040</v>
      </c>
      <c r="L1153" s="208" t="s">
        <v>311</v>
      </c>
      <c r="M1153" s="208" t="s">
        <v>549</v>
      </c>
      <c r="N1153" s="55" t="str">
        <f>IF(AND('331-CT'!$E$7=TH!H1153,OR(L1153="331",M1153="331")),"x","")</f>
        <v/>
      </c>
      <c r="O1153" s="55" t="str">
        <f>IF(AND($B1153&gt;='111'!$N$11,$B1153&lt;='111'!$O$11,OR($L1153=$O$7,$M1153=$O$7)),"x","")</f>
        <v/>
      </c>
      <c r="P1153" s="55" t="str">
        <f>IF(AND($L1153=$O$7,$B1153&lt;'111'!$N$11),"x","")</f>
        <v/>
      </c>
      <c r="Q1153" s="55" t="str">
        <f>IF(AND($M1153=$O$7,$B1153&lt;'111'!$N$11),"x","")</f>
        <v/>
      </c>
      <c r="R1153" s="55" t="str">
        <f>IF(ISERROR(FIND('112'!$M$9,G1153,1)),"",IF((AND(FIND('112'!$M$9,G1153,1)&gt;=1,$B1153&gt;='112'!$N$8,$B1153&lt;='112'!$O$8,OR($L1153='112'!$I$6,$M1153='112'!$I$6))),"x",""))</f>
        <v/>
      </c>
      <c r="S1153" s="55" t="str">
        <f>IF(ISERROR(FIND('112'!$M$9,G1153,1)),"",IF((AND(LEFT(G1153,2)=LEFT('112'!$M$9,2),B1153&lt;'112'!$N$8,$L1153='112'!$I$6)),"x",""))</f>
        <v/>
      </c>
      <c r="T1153" s="55" t="str">
        <f>IF(ISERROR(FIND('112'!$M$9,G1153,1)),"",IF((AND(RIGHT(G1153,2)=RIGHT('112'!$M$9,2),B1153&lt;'112'!$N$8,$M1153='112'!$I$6)),"x",""))</f>
        <v/>
      </c>
      <c r="U1153" s="55" t="str">
        <f>IF(AND('3411-CT'!$F$9=H1153,OR(LEFT(L1153,3)=$U$7,LEFT(M1153,3)=$U$7)),"x","")</f>
        <v/>
      </c>
      <c r="V1153" s="55" t="str">
        <f>IF(OR(TH!L1153=TH!$V$7,M1153=TH!$V$7),"x","")</f>
        <v/>
      </c>
      <c r="W1153" s="55" t="str">
        <f>IF(AND(OR(L1153="131",M1153="131"),H1153='131-CT'!$E$7),"x","")</f>
        <v/>
      </c>
      <c r="X1153" s="55" t="str">
        <f>IF(AND(B1153&gt;='IN-NX'!$P$3,B1153&lt;='IN-NX'!$Q$3,'IN-NX'!$D$7=D1153,OR(LEFT(TH!L1153,2)="15",LEFT(TH!M1153,2)="15")),"x","")</f>
        <v/>
      </c>
      <c r="Y1153" s="55" t="str">
        <f>IF(AND(OR(LEFT(TH!L1153,2)="15",LEFT(TH!M1153,2)="15"),'152-CT'!$J$8=TH!F1153),"x","")</f>
        <v/>
      </c>
      <c r="Z1153" s="55" t="str">
        <f>IF(AND(OR(LEFT(TH!L1153,2)="15",LEFT(TH!M1153,2)="15"),TK!$E$7=TH!F1153),"x","")</f>
        <v/>
      </c>
      <c r="AA1153" s="55" t="str">
        <f>IF(AND(B1153&lt;=NKC!$N$8,B1153&gt;=NKC!$M$8),"x","")</f>
        <v>x</v>
      </c>
      <c r="AC1153" s="226"/>
    </row>
    <row r="1154" spans="1:29" ht="15.75" customHeight="1">
      <c r="A1154" s="219" t="str">
        <f>IF(B1154&lt;&gt;"",IF(AND(B1154&gt;=_TM1,B1154&lt;=_TM2,OR(TH!L1154="1111",TH!M1154="1111")),TH!D1154,""),"")</f>
        <v/>
      </c>
      <c r="B1154" s="36">
        <f t="shared" si="39"/>
        <v>5</v>
      </c>
      <c r="C1154" s="205">
        <f t="shared" si="50"/>
        <v>41059</v>
      </c>
      <c r="D1154" s="205"/>
      <c r="E1154" s="205">
        <v>41059</v>
      </c>
      <c r="F1154" s="206" t="s">
        <v>1360</v>
      </c>
      <c r="G1154" s="581" t="s">
        <v>1361</v>
      </c>
      <c r="H1154" s="225" t="s">
        <v>1138</v>
      </c>
      <c r="I1154" s="277">
        <v>1000</v>
      </c>
      <c r="J1154" s="277">
        <v>6400</v>
      </c>
      <c r="K1154" s="38">
        <f t="shared" si="49"/>
        <v>6400000</v>
      </c>
      <c r="L1154" s="208" t="s">
        <v>311</v>
      </c>
      <c r="M1154" s="208" t="s">
        <v>208</v>
      </c>
      <c r="N1154" s="55" t="str">
        <f>IF(AND('331-CT'!$E$7=TH!H1154,OR(L1154="331",M1154="331")),"x","")</f>
        <v/>
      </c>
      <c r="O1154" s="55" t="str">
        <f>IF(AND($B1154&gt;='111'!$N$11,$B1154&lt;='111'!$O$11,OR($L1154=$O$7,$M1154=$O$7)),"x","")</f>
        <v/>
      </c>
      <c r="P1154" s="55" t="str">
        <f>IF(AND($L1154=$O$7,$B1154&lt;'111'!$N$11),"x","")</f>
        <v/>
      </c>
      <c r="Q1154" s="55" t="str">
        <f>IF(AND($M1154=$O$7,$B1154&lt;'111'!$N$11),"x","")</f>
        <v/>
      </c>
      <c r="R1154" s="55" t="str">
        <f>IF(ISERROR(FIND('112'!$M$9,G1154,1)),"",IF((AND(FIND('112'!$M$9,G1154,1)&gt;=1,$B1154&gt;='112'!$N$8,$B1154&lt;='112'!$O$8,OR($L1154='112'!$I$6,$M1154='112'!$I$6))),"x",""))</f>
        <v/>
      </c>
      <c r="S1154" s="55" t="str">
        <f>IF(ISERROR(FIND('112'!$M$9,G1154,1)),"",IF((AND(LEFT(G1154,2)=LEFT('112'!$M$9,2),B1154&lt;'112'!$N$8,$L1154='112'!$I$6)),"x",""))</f>
        <v/>
      </c>
      <c r="T1154" s="55" t="str">
        <f>IF(ISERROR(FIND('112'!$M$9,G1154,1)),"",IF((AND(RIGHT(G1154,2)=RIGHT('112'!$M$9,2),B1154&lt;'112'!$N$8,$M1154='112'!$I$6)),"x",""))</f>
        <v/>
      </c>
      <c r="U1154" s="55" t="str">
        <f>IF(AND('3411-CT'!$F$9=H1154,OR(LEFT(L1154,3)=$U$7,LEFT(M1154,3)=$U$7)),"x","")</f>
        <v/>
      </c>
      <c r="V1154" s="55" t="str">
        <f>IF(OR(TH!L1154=TH!$V$7,M1154=TH!$V$7),"x","")</f>
        <v/>
      </c>
      <c r="W1154" s="55" t="str">
        <f>IF(AND(OR(L1154="131",M1154="131"),H1154='131-CT'!$E$7),"x","")</f>
        <v/>
      </c>
      <c r="X1154" s="55" t="str">
        <f>IF(AND(B1154&gt;='IN-NX'!$P$3,B1154&lt;='IN-NX'!$Q$3,'IN-NX'!$D$7=D1154,OR(LEFT(TH!L1154,2)="15",LEFT(TH!M1154,2)="15")),"x","")</f>
        <v/>
      </c>
      <c r="Y1154" s="55" t="str">
        <f>IF(AND(OR(LEFT(TH!L1154,2)="15",LEFT(TH!M1154,2)="15"),'152-CT'!$J$8=TH!F1154),"x","")</f>
        <v/>
      </c>
      <c r="Z1154" s="55" t="str">
        <f>IF(AND(OR(LEFT(TH!L1154,2)="15",LEFT(TH!M1154,2)="15"),TK!$E$7=TH!F1154),"x","")</f>
        <v/>
      </c>
      <c r="AA1154" s="55" t="str">
        <f>IF(AND(B1154&lt;=NKC!$N$8,B1154&gt;=NKC!$M$8),"x","")</f>
        <v>x</v>
      </c>
    </row>
    <row r="1155" spans="1:29" ht="15.75" customHeight="1">
      <c r="A1155" s="219" t="str">
        <f>IF(B1155&lt;&gt;"",IF(AND(B1155&gt;=_TM1,B1155&lt;=_TM2,OR(TH!L1155="1111",TH!M1155="1111")),TH!D1155,""),"")</f>
        <v/>
      </c>
      <c r="B1155" s="36">
        <f t="shared" si="39"/>
        <v>5</v>
      </c>
      <c r="C1155" s="205">
        <f t="shared" si="50"/>
        <v>41059</v>
      </c>
      <c r="D1155" s="205"/>
      <c r="E1155" s="205">
        <v>41059</v>
      </c>
      <c r="F1155" s="206" t="s">
        <v>1362</v>
      </c>
      <c r="G1155" s="581" t="s">
        <v>1361</v>
      </c>
      <c r="H1155" s="225" t="s">
        <v>1138</v>
      </c>
      <c r="I1155" s="277">
        <v>990</v>
      </c>
      <c r="J1155" s="277">
        <v>6950</v>
      </c>
      <c r="K1155" s="38">
        <f t="shared" si="49"/>
        <v>6880500</v>
      </c>
      <c r="L1155" s="208" t="s">
        <v>311</v>
      </c>
      <c r="M1155" s="208" t="s">
        <v>208</v>
      </c>
      <c r="N1155" s="55" t="str">
        <f>IF(AND('331-CT'!$E$7=TH!H1155,OR(L1155="331",M1155="331")),"x","")</f>
        <v/>
      </c>
      <c r="O1155" s="55" t="str">
        <f>IF(AND($B1155&gt;='111'!$N$11,$B1155&lt;='111'!$O$11,OR($L1155=$O$7,$M1155=$O$7)),"x","")</f>
        <v/>
      </c>
      <c r="P1155" s="55" t="str">
        <f>IF(AND($L1155=$O$7,$B1155&lt;'111'!$N$11),"x","")</f>
        <v/>
      </c>
      <c r="Q1155" s="55" t="str">
        <f>IF(AND($M1155=$O$7,$B1155&lt;'111'!$N$11),"x","")</f>
        <v/>
      </c>
      <c r="R1155" s="55" t="str">
        <f>IF(ISERROR(FIND('112'!$M$9,G1155,1)),"",IF((AND(FIND('112'!$M$9,G1155,1)&gt;=1,$B1155&gt;='112'!$N$8,$B1155&lt;='112'!$O$8,OR($L1155='112'!$I$6,$M1155='112'!$I$6))),"x",""))</f>
        <v/>
      </c>
      <c r="S1155" s="55" t="str">
        <f>IF(ISERROR(FIND('112'!$M$9,G1155,1)),"",IF((AND(LEFT(G1155,2)=LEFT('112'!$M$9,2),B1155&lt;'112'!$N$8,$L1155='112'!$I$6)),"x",""))</f>
        <v/>
      </c>
      <c r="T1155" s="55" t="str">
        <f>IF(ISERROR(FIND('112'!$M$9,G1155,1)),"",IF((AND(RIGHT(G1155,2)=RIGHT('112'!$M$9,2),B1155&lt;'112'!$N$8,$M1155='112'!$I$6)),"x",""))</f>
        <v/>
      </c>
      <c r="U1155" s="55" t="str">
        <f>IF(AND('3411-CT'!$F$9=H1155,OR(LEFT(L1155,3)=$U$7,LEFT(M1155,3)=$U$7)),"x","")</f>
        <v/>
      </c>
      <c r="V1155" s="55" t="str">
        <f>IF(OR(TH!L1155=TH!$V$7,M1155=TH!$V$7),"x","")</f>
        <v/>
      </c>
      <c r="W1155" s="55" t="str">
        <f>IF(AND(OR(L1155="131",M1155="131"),H1155='131-CT'!$E$7),"x","")</f>
        <v/>
      </c>
      <c r="X1155" s="55" t="str">
        <f>IF(AND(B1155&gt;='IN-NX'!$P$3,B1155&lt;='IN-NX'!$Q$3,'IN-NX'!$D$7=D1155,OR(LEFT(TH!L1155,2)="15",LEFT(TH!M1155,2)="15")),"x","")</f>
        <v/>
      </c>
      <c r="Y1155" s="55" t="str">
        <f>IF(AND(OR(LEFT(TH!L1155,2)="15",LEFT(TH!M1155,2)="15"),'152-CT'!$J$8=TH!F1155),"x","")</f>
        <v/>
      </c>
      <c r="Z1155" s="55" t="str">
        <f>IF(AND(OR(LEFT(TH!L1155,2)="15",LEFT(TH!M1155,2)="15"),TK!$E$7=TH!F1155),"x","")</f>
        <v/>
      </c>
      <c r="AA1155" s="55" t="str">
        <f>IF(AND(B1155&lt;=NKC!$N$8,B1155&gt;=NKC!$M$8),"x","")</f>
        <v>x</v>
      </c>
    </row>
    <row r="1156" spans="1:29" ht="15.75" customHeight="1">
      <c r="A1156" s="219" t="str">
        <f>IF(B1156&lt;&gt;"",IF(AND(B1156&gt;=_TM1,B1156&lt;=_TM2,OR(TH!L1156="1111",TH!M1156="1111")),TH!D1156,""),"")</f>
        <v/>
      </c>
      <c r="B1156" s="36">
        <f t="shared" si="39"/>
        <v>5</v>
      </c>
      <c r="C1156" s="205">
        <f t="shared" si="50"/>
        <v>41059</v>
      </c>
      <c r="D1156" s="205"/>
      <c r="E1156" s="205">
        <v>41059</v>
      </c>
      <c r="F1156" s="206" t="s">
        <v>1185</v>
      </c>
      <c r="G1156" s="581" t="s">
        <v>1361</v>
      </c>
      <c r="H1156" s="225" t="s">
        <v>1138</v>
      </c>
      <c r="I1156" s="277"/>
      <c r="J1156" s="277"/>
      <c r="K1156" s="38">
        <v>1328050</v>
      </c>
      <c r="L1156" s="208" t="s">
        <v>311</v>
      </c>
      <c r="M1156" s="208" t="s">
        <v>549</v>
      </c>
      <c r="N1156" s="55" t="str">
        <f>IF(AND('331-CT'!$E$7=TH!H1156,OR(L1156="331",M1156="331")),"x","")</f>
        <v/>
      </c>
      <c r="O1156" s="55" t="str">
        <f>IF(AND($B1156&gt;='111'!$N$11,$B1156&lt;='111'!$O$11,OR($L1156=$O$7,$M1156=$O$7)),"x","")</f>
        <v/>
      </c>
      <c r="P1156" s="55" t="str">
        <f>IF(AND($L1156=$O$7,$B1156&lt;'111'!$N$11),"x","")</f>
        <v/>
      </c>
      <c r="Q1156" s="55" t="str">
        <f>IF(AND($M1156=$O$7,$B1156&lt;'111'!$N$11),"x","")</f>
        <v/>
      </c>
      <c r="R1156" s="55" t="str">
        <f>IF(ISERROR(FIND('112'!$M$9,G1156,1)),"",IF((AND(FIND('112'!$M$9,G1156,1)&gt;=1,$B1156&gt;='112'!$N$8,$B1156&lt;='112'!$O$8,OR($L1156='112'!$I$6,$M1156='112'!$I$6))),"x",""))</f>
        <v/>
      </c>
      <c r="S1156" s="55" t="str">
        <f>IF(ISERROR(FIND('112'!$M$9,G1156,1)),"",IF((AND(LEFT(G1156,2)=LEFT('112'!$M$9,2),B1156&lt;'112'!$N$8,$L1156='112'!$I$6)),"x",""))</f>
        <v/>
      </c>
      <c r="T1156" s="55" t="str">
        <f>IF(ISERROR(FIND('112'!$M$9,G1156,1)),"",IF((AND(RIGHT(G1156,2)=RIGHT('112'!$M$9,2),B1156&lt;'112'!$N$8,$M1156='112'!$I$6)),"x",""))</f>
        <v/>
      </c>
      <c r="U1156" s="55" t="str">
        <f>IF(AND('3411-CT'!$F$9=H1156,OR(LEFT(L1156,3)=$U$7,LEFT(M1156,3)=$U$7)),"x","")</f>
        <v/>
      </c>
      <c r="V1156" s="55" t="str">
        <f>IF(OR(TH!L1156=TH!$V$7,M1156=TH!$V$7),"x","")</f>
        <v/>
      </c>
      <c r="W1156" s="55" t="str">
        <f>IF(AND(OR(L1156="131",M1156="131"),H1156='131-CT'!$E$7),"x","")</f>
        <v/>
      </c>
      <c r="X1156" s="55" t="str">
        <f>IF(AND(B1156&gt;='IN-NX'!$P$3,B1156&lt;='IN-NX'!$Q$3,'IN-NX'!$D$7=D1156,OR(LEFT(TH!L1156,2)="15",LEFT(TH!M1156,2)="15")),"x","")</f>
        <v/>
      </c>
      <c r="Y1156" s="55" t="str">
        <f>IF(AND(OR(LEFT(TH!L1156,2)="15",LEFT(TH!M1156,2)="15"),'152-CT'!$J$8=TH!F1156),"x","")</f>
        <v/>
      </c>
      <c r="Z1156" s="55" t="str">
        <f>IF(AND(OR(LEFT(TH!L1156,2)="15",LEFT(TH!M1156,2)="15"),TK!$E$7=TH!F1156),"x","")</f>
        <v/>
      </c>
      <c r="AA1156" s="55" t="str">
        <f>IF(AND(B1156&lt;=NKC!$N$8,B1156&gt;=NKC!$M$8),"x","")</f>
        <v>x</v>
      </c>
      <c r="AC1156" s="226"/>
    </row>
    <row r="1157" spans="1:29" ht="15.75" customHeight="1">
      <c r="A1157" s="219" t="str">
        <f>IF(B1157&lt;&gt;"",IF(AND(B1157&gt;=_TM1,B1157&lt;=_TM2,OR(TH!L1157="1111",TH!M1157="1111")),TH!D1157,""),"")</f>
        <v/>
      </c>
      <c r="B1157" s="36">
        <f t="shared" si="39"/>
        <v>5</v>
      </c>
      <c r="C1157" s="205">
        <f t="shared" si="50"/>
        <v>41059</v>
      </c>
      <c r="D1157" s="205"/>
      <c r="E1157" s="205">
        <v>41059</v>
      </c>
      <c r="F1157" s="206" t="s">
        <v>1183</v>
      </c>
      <c r="G1157" s="581" t="s">
        <v>1363</v>
      </c>
      <c r="H1157" s="7" t="s">
        <v>1553</v>
      </c>
      <c r="I1157" s="277"/>
      <c r="J1157" s="277"/>
      <c r="K1157" s="38">
        <v>16838970</v>
      </c>
      <c r="L1157" s="208" t="s">
        <v>311</v>
      </c>
      <c r="M1157" s="208" t="s">
        <v>208</v>
      </c>
      <c r="N1157" s="55" t="str">
        <f>IF(AND('331-CT'!$E$7=TH!H1157,OR(L1157="331",M1157="331")),"x","")</f>
        <v/>
      </c>
      <c r="O1157" s="55" t="str">
        <f>IF(AND($B1157&gt;='111'!$N$11,$B1157&lt;='111'!$O$11,OR($L1157=$O$7,$M1157=$O$7)),"x","")</f>
        <v/>
      </c>
      <c r="P1157" s="55" t="str">
        <f>IF(AND($L1157=$O$7,$B1157&lt;'111'!$N$11),"x","")</f>
        <v/>
      </c>
      <c r="Q1157" s="55" t="str">
        <f>IF(AND($M1157=$O$7,$B1157&lt;'111'!$N$11),"x","")</f>
        <v/>
      </c>
      <c r="R1157" s="55" t="str">
        <f>IF(ISERROR(FIND('112'!$M$9,G1157,1)),"",IF((AND(FIND('112'!$M$9,G1157,1)&gt;=1,$B1157&gt;='112'!$N$8,$B1157&lt;='112'!$O$8,OR($L1157='112'!$I$6,$M1157='112'!$I$6))),"x",""))</f>
        <v/>
      </c>
      <c r="S1157" s="55" t="str">
        <f>IF(ISERROR(FIND('112'!$M$9,G1157,1)),"",IF((AND(LEFT(G1157,2)=LEFT('112'!$M$9,2),B1157&lt;'112'!$N$8,$L1157='112'!$I$6)),"x",""))</f>
        <v/>
      </c>
      <c r="T1157" s="55" t="str">
        <f>IF(ISERROR(FIND('112'!$M$9,G1157,1)),"",IF((AND(RIGHT(G1157,2)=RIGHT('112'!$M$9,2),B1157&lt;'112'!$N$8,$M1157='112'!$I$6)),"x",""))</f>
        <v/>
      </c>
      <c r="U1157" s="55" t="str">
        <f>IF(AND('3411-CT'!$F$9=H1157,OR(LEFT(L1157,3)=$U$7,LEFT(M1157,3)=$U$7)),"x","")</f>
        <v/>
      </c>
      <c r="V1157" s="55" t="str">
        <f>IF(OR(TH!L1157=TH!$V$7,M1157=TH!$V$7),"x","")</f>
        <v/>
      </c>
      <c r="W1157" s="55" t="str">
        <f>IF(AND(OR(L1157="131",M1157="131"),H1157='131-CT'!$E$7),"x","")</f>
        <v/>
      </c>
      <c r="X1157" s="55" t="str">
        <f>IF(AND(B1157&gt;='IN-NX'!$P$3,B1157&lt;='IN-NX'!$Q$3,'IN-NX'!$D$7=D1157,OR(LEFT(TH!L1157,2)="15",LEFT(TH!M1157,2)="15")),"x","")</f>
        <v/>
      </c>
      <c r="Y1157" s="55" t="str">
        <f>IF(AND(OR(LEFT(TH!L1157,2)="15",LEFT(TH!M1157,2)="15"),'152-CT'!$J$8=TH!F1157),"x","")</f>
        <v/>
      </c>
      <c r="Z1157" s="55" t="str">
        <f>IF(AND(OR(LEFT(TH!L1157,2)="15",LEFT(TH!M1157,2)="15"),TK!$E$7=TH!F1157),"x","")</f>
        <v/>
      </c>
      <c r="AA1157" s="55" t="str">
        <f>IF(AND(B1157&lt;=NKC!$N$8,B1157&gt;=NKC!$M$8),"x","")</f>
        <v>x</v>
      </c>
    </row>
    <row r="1158" spans="1:29" s="226" customFormat="1" ht="15.75" customHeight="1">
      <c r="A1158" s="219" t="str">
        <f>IF(B1158&lt;&gt;"",IF(AND(B1158&gt;=_TM1,B1158&lt;=_TM2,OR(TH!L1158="1111",TH!M1158="1111")),TH!D1158,""),"")</f>
        <v/>
      </c>
      <c r="B1158" s="36">
        <f t="shared" ref="B1158:B1191" si="51">IF(C1158&lt;&gt;"",MONTH(C1158),"")</f>
        <v>5</v>
      </c>
      <c r="C1158" s="205">
        <f t="shared" si="50"/>
        <v>41059</v>
      </c>
      <c r="D1158" s="205"/>
      <c r="E1158" s="205">
        <v>41059</v>
      </c>
      <c r="F1158" s="206" t="s">
        <v>1185</v>
      </c>
      <c r="G1158" s="581" t="s">
        <v>1363</v>
      </c>
      <c r="H1158" s="7" t="s">
        <v>1553</v>
      </c>
      <c r="I1158" s="277"/>
      <c r="J1158" s="277"/>
      <c r="K1158" s="38">
        <v>1683897</v>
      </c>
      <c r="L1158" s="208" t="s">
        <v>311</v>
      </c>
      <c r="M1158" s="208" t="s">
        <v>549</v>
      </c>
      <c r="N1158" s="55" t="str">
        <f>IF(AND('331-CT'!$E$7=TH!H1158,OR(L1158="331",M1158="331")),"x","")</f>
        <v/>
      </c>
      <c r="O1158" s="55" t="str">
        <f>IF(AND($B1158&gt;='111'!$N$11,$B1158&lt;='111'!$O$11,OR($L1158=$O$7,$M1158=$O$7)),"x","")</f>
        <v/>
      </c>
      <c r="P1158" s="55" t="str">
        <f>IF(AND($L1158=$O$7,$B1158&lt;'111'!$N$11),"x","")</f>
        <v/>
      </c>
      <c r="Q1158" s="55" t="str">
        <f>IF(AND($M1158=$O$7,$B1158&lt;'111'!$N$11),"x","")</f>
        <v/>
      </c>
      <c r="R1158" s="55" t="str">
        <f>IF(ISERROR(FIND('112'!$M$9,G1158,1)),"",IF((AND(FIND('112'!$M$9,G1158,1)&gt;=1,$B1158&gt;='112'!$N$8,$B1158&lt;='112'!$O$8,OR($L1158='112'!$I$6,$M1158='112'!$I$6))),"x",""))</f>
        <v/>
      </c>
      <c r="S1158" s="55" t="str">
        <f>IF(ISERROR(FIND('112'!$M$9,G1158,1)),"",IF((AND(LEFT(G1158,2)=LEFT('112'!$M$9,2),B1158&lt;'112'!$N$8,$L1158='112'!$I$6)),"x",""))</f>
        <v/>
      </c>
      <c r="T1158" s="55" t="str">
        <f>IF(ISERROR(FIND('112'!$M$9,G1158,1)),"",IF((AND(RIGHT(G1158,2)=RIGHT('112'!$M$9,2),B1158&lt;'112'!$N$8,$M1158='112'!$I$6)),"x",""))</f>
        <v/>
      </c>
      <c r="U1158" s="55" t="str">
        <f>IF(AND('3411-CT'!$F$9=H1158,OR(LEFT(L1158,3)=$U$7,LEFT(M1158,3)=$U$7)),"x","")</f>
        <v/>
      </c>
      <c r="V1158" s="55" t="str">
        <f>IF(OR(TH!L1158=TH!$V$7,M1158=TH!$V$7),"x","")</f>
        <v/>
      </c>
      <c r="W1158" s="55" t="str">
        <f>IF(AND(OR(L1158="131",M1158="131"),H1158='131-CT'!$E$7),"x","")</f>
        <v/>
      </c>
      <c r="X1158" s="55" t="str">
        <f>IF(AND(B1158&gt;='IN-NX'!$P$3,B1158&lt;='IN-NX'!$Q$3,'IN-NX'!$D$7=D1158,OR(LEFT(TH!L1158,2)="15",LEFT(TH!M1158,2)="15")),"x","")</f>
        <v/>
      </c>
      <c r="Y1158" s="55" t="str">
        <f>IF(AND(OR(LEFT(TH!L1158,2)="15",LEFT(TH!M1158,2)="15"),'152-CT'!$J$8=TH!F1158),"x","")</f>
        <v/>
      </c>
      <c r="Z1158" s="55" t="str">
        <f>IF(AND(OR(LEFT(TH!L1158,2)="15",LEFT(TH!M1158,2)="15"),TK!$E$7=TH!F1158),"x","")</f>
        <v/>
      </c>
      <c r="AA1158" s="55" t="str">
        <f>IF(AND(B1158&lt;=NKC!$N$8,B1158&gt;=NKC!$M$8),"x","")</f>
        <v>x</v>
      </c>
    </row>
    <row r="1159" spans="1:29" s="226" customFormat="1" ht="15.75" customHeight="1">
      <c r="A1159" s="219" t="str">
        <f>IF(B1159&lt;&gt;"",IF(AND(B1159&gt;=_TM1,B1159&lt;=_TM2,OR(TH!L1159="1111",TH!M1159="1111")),TH!D1159,""),"")</f>
        <v/>
      </c>
      <c r="B1159" s="36">
        <f t="shared" si="51"/>
        <v>5</v>
      </c>
      <c r="C1159" s="205">
        <f t="shared" si="50"/>
        <v>41059</v>
      </c>
      <c r="D1159" s="205"/>
      <c r="E1159" s="205">
        <v>41059</v>
      </c>
      <c r="F1159" s="206" t="s">
        <v>1364</v>
      </c>
      <c r="G1159" s="581" t="s">
        <v>1365</v>
      </c>
      <c r="H1159" s="207" t="s">
        <v>1366</v>
      </c>
      <c r="I1159" s="277">
        <v>219</v>
      </c>
      <c r="J1159" s="277">
        <v>11800</v>
      </c>
      <c r="K1159" s="38">
        <f t="shared" si="49"/>
        <v>2584200</v>
      </c>
      <c r="L1159" s="208" t="s">
        <v>49</v>
      </c>
      <c r="M1159" s="208" t="s">
        <v>208</v>
      </c>
      <c r="N1159" s="55" t="str">
        <f>IF(AND('331-CT'!$E$7=TH!H1159,OR(L1159="331",M1159="331")),"x","")</f>
        <v/>
      </c>
      <c r="O1159" s="55" t="str">
        <f>IF(AND($B1159&gt;='111'!$N$11,$B1159&lt;='111'!$O$11,OR($L1159=$O$7,$M1159=$O$7)),"x","")</f>
        <v/>
      </c>
      <c r="P1159" s="55" t="str">
        <f>IF(AND($L1159=$O$7,$B1159&lt;'111'!$N$11),"x","")</f>
        <v>x</v>
      </c>
      <c r="Q1159" s="55" t="str">
        <f>IF(AND($M1159=$O$7,$B1159&lt;'111'!$N$11),"x","")</f>
        <v/>
      </c>
      <c r="R1159" s="55" t="str">
        <f>IF(ISERROR(FIND('112'!$M$9,G1159,1)),"",IF((AND(FIND('112'!$M$9,G1159,1)&gt;=1,$B1159&gt;='112'!$N$8,$B1159&lt;='112'!$O$8,OR($L1159='112'!$I$6,$M1159='112'!$I$6))),"x",""))</f>
        <v/>
      </c>
      <c r="S1159" s="55" t="str">
        <f>IF(ISERROR(FIND('112'!$M$9,G1159,1)),"",IF((AND(LEFT(G1159,2)=LEFT('112'!$M$9,2),B1159&lt;'112'!$N$8,$L1159='112'!$I$6)),"x",""))</f>
        <v/>
      </c>
      <c r="T1159" s="55" t="str">
        <f>IF(ISERROR(FIND('112'!$M$9,G1159,1)),"",IF((AND(RIGHT(G1159,2)=RIGHT('112'!$M$9,2),B1159&lt;'112'!$N$8,$M1159='112'!$I$6)),"x",""))</f>
        <v/>
      </c>
      <c r="U1159" s="55" t="str">
        <f>IF(AND('3411-CT'!$F$9=H1159,OR(LEFT(L1159,3)=$U$7,LEFT(M1159,3)=$U$7)),"x","")</f>
        <v/>
      </c>
      <c r="V1159" s="55" t="str">
        <f>IF(OR(TH!L1159=TH!$V$7,M1159=TH!$V$7),"x","")</f>
        <v/>
      </c>
      <c r="W1159" s="55" t="str">
        <f>IF(AND(OR(L1159="131",M1159="131"),H1159='131-CT'!$E$7),"x","")</f>
        <v/>
      </c>
      <c r="X1159" s="55" t="str">
        <f>IF(AND(B1159&gt;='IN-NX'!$P$3,B1159&lt;='IN-NX'!$Q$3,'IN-NX'!$D$7=D1159,OR(LEFT(TH!L1159,2)="15",LEFT(TH!M1159,2)="15")),"x","")</f>
        <v/>
      </c>
      <c r="Y1159" s="55" t="str">
        <f>IF(AND(OR(LEFT(TH!L1159,2)="15",LEFT(TH!M1159,2)="15"),'152-CT'!$J$8=TH!F1159),"x","")</f>
        <v/>
      </c>
      <c r="Z1159" s="55" t="str">
        <f>IF(AND(OR(LEFT(TH!L1159,2)="15",LEFT(TH!M1159,2)="15"),TK!$E$7=TH!F1159),"x","")</f>
        <v/>
      </c>
      <c r="AA1159" s="55" t="str">
        <f>IF(AND(B1159&lt;=NKC!$N$8,B1159&gt;=NKC!$M$8),"x","")</f>
        <v>x</v>
      </c>
    </row>
    <row r="1160" spans="1:29" s="226" customFormat="1" ht="15.75" customHeight="1">
      <c r="A1160" s="219" t="str">
        <f>IF(B1160&lt;&gt;"",IF(AND(B1160&gt;=_TM1,B1160&lt;=_TM2,OR(TH!L1160="1111",TH!M1160="1111")),TH!D1160,""),"")</f>
        <v/>
      </c>
      <c r="B1160" s="36">
        <f t="shared" si="51"/>
        <v>5</v>
      </c>
      <c r="C1160" s="205">
        <f t="shared" si="50"/>
        <v>41059</v>
      </c>
      <c r="D1160" s="205"/>
      <c r="E1160" s="205">
        <v>41059</v>
      </c>
      <c r="F1160" s="206" t="s">
        <v>1185</v>
      </c>
      <c r="G1160" s="581" t="s">
        <v>1365</v>
      </c>
      <c r="H1160" s="207" t="s">
        <v>1366</v>
      </c>
      <c r="I1160" s="277"/>
      <c r="J1160" s="277"/>
      <c r="K1160" s="38">
        <v>258420</v>
      </c>
      <c r="L1160" s="208" t="s">
        <v>49</v>
      </c>
      <c r="M1160" s="208" t="s">
        <v>549</v>
      </c>
      <c r="N1160" s="55" t="str">
        <f>IF(AND('331-CT'!$E$7=TH!H1160,OR(L1160="331",M1160="331")),"x","")</f>
        <v/>
      </c>
      <c r="O1160" s="55" t="str">
        <f>IF(AND($B1160&gt;='111'!$N$11,$B1160&lt;='111'!$O$11,OR($L1160=$O$7,$M1160=$O$7)),"x","")</f>
        <v/>
      </c>
      <c r="P1160" s="55" t="str">
        <f>IF(AND($L1160=$O$7,$B1160&lt;'111'!$N$11),"x","")</f>
        <v>x</v>
      </c>
      <c r="Q1160" s="55" t="str">
        <f>IF(AND($M1160=$O$7,$B1160&lt;'111'!$N$11),"x","")</f>
        <v/>
      </c>
      <c r="R1160" s="55" t="str">
        <f>IF(ISERROR(FIND('112'!$M$9,G1160,1)),"",IF((AND(FIND('112'!$M$9,G1160,1)&gt;=1,$B1160&gt;='112'!$N$8,$B1160&lt;='112'!$O$8,OR($L1160='112'!$I$6,$M1160='112'!$I$6))),"x",""))</f>
        <v/>
      </c>
      <c r="S1160" s="55" t="str">
        <f>IF(ISERROR(FIND('112'!$M$9,G1160,1)),"",IF((AND(LEFT(G1160,2)=LEFT('112'!$M$9,2),B1160&lt;'112'!$N$8,$L1160='112'!$I$6)),"x",""))</f>
        <v/>
      </c>
      <c r="T1160" s="55" t="str">
        <f>IF(ISERROR(FIND('112'!$M$9,G1160,1)),"",IF((AND(RIGHT(G1160,2)=RIGHT('112'!$M$9,2),B1160&lt;'112'!$N$8,$M1160='112'!$I$6)),"x",""))</f>
        <v/>
      </c>
      <c r="U1160" s="55" t="str">
        <f>IF(AND('3411-CT'!$F$9=H1160,OR(LEFT(L1160,3)=$U$7,LEFT(M1160,3)=$U$7)),"x","")</f>
        <v/>
      </c>
      <c r="V1160" s="55" t="str">
        <f>IF(OR(TH!L1160=TH!$V$7,M1160=TH!$V$7),"x","")</f>
        <v/>
      </c>
      <c r="W1160" s="55" t="str">
        <f>IF(AND(OR(L1160="131",M1160="131"),H1160='131-CT'!$E$7),"x","")</f>
        <v/>
      </c>
      <c r="X1160" s="55" t="str">
        <f>IF(AND(B1160&gt;='IN-NX'!$P$3,B1160&lt;='IN-NX'!$Q$3,'IN-NX'!$D$7=D1160,OR(LEFT(TH!L1160,2)="15",LEFT(TH!M1160,2)="15")),"x","")</f>
        <v/>
      </c>
      <c r="Y1160" s="55" t="str">
        <f>IF(AND(OR(LEFT(TH!L1160,2)="15",LEFT(TH!M1160,2)="15"),'152-CT'!$J$8=TH!F1160),"x","")</f>
        <v/>
      </c>
      <c r="Z1160" s="55" t="str">
        <f>IF(AND(OR(LEFT(TH!L1160,2)="15",LEFT(TH!M1160,2)="15"),TK!$E$7=TH!F1160),"x","")</f>
        <v/>
      </c>
      <c r="AA1160" s="55" t="str">
        <f>IF(AND(B1160&lt;=NKC!$N$8,B1160&gt;=NKC!$M$8),"x","")</f>
        <v>x</v>
      </c>
    </row>
    <row r="1161" spans="1:29" s="226" customFormat="1" ht="15.75" customHeight="1">
      <c r="A1161" s="219" t="str">
        <f>IF(B1161&lt;&gt;"",IF(AND(B1161&gt;=_TM1,B1161&lt;=_TM2,OR(TH!L1161="1111",TH!M1161="1111")),TH!D1161,""),"")</f>
        <v/>
      </c>
      <c r="B1161" s="36">
        <f t="shared" si="51"/>
        <v>5</v>
      </c>
      <c r="C1161" s="205">
        <f t="shared" si="50"/>
        <v>41060</v>
      </c>
      <c r="D1161" s="205"/>
      <c r="E1161" s="205">
        <v>41060</v>
      </c>
      <c r="F1161" s="206" t="s">
        <v>1367</v>
      </c>
      <c r="G1161" s="581" t="s">
        <v>1368</v>
      </c>
      <c r="H1161" s="207" t="s">
        <v>1256</v>
      </c>
      <c r="I1161" s="277">
        <v>488</v>
      </c>
      <c r="J1161" s="277">
        <v>8000</v>
      </c>
      <c r="K1161" s="38">
        <f t="shared" si="49"/>
        <v>3904000</v>
      </c>
      <c r="L1161" s="208" t="s">
        <v>49</v>
      </c>
      <c r="M1161" s="208" t="s">
        <v>208</v>
      </c>
      <c r="N1161" s="55" t="str">
        <f>IF(AND('331-CT'!$E$7=TH!H1161,OR(L1161="331",M1161="331")),"x","")</f>
        <v/>
      </c>
      <c r="O1161" s="55" t="str">
        <f>IF(AND($B1161&gt;='111'!$N$11,$B1161&lt;='111'!$O$11,OR($L1161=$O$7,$M1161=$O$7)),"x","")</f>
        <v/>
      </c>
      <c r="P1161" s="55" t="str">
        <f>IF(AND($L1161=$O$7,$B1161&lt;'111'!$N$11),"x","")</f>
        <v>x</v>
      </c>
      <c r="Q1161" s="55" t="str">
        <f>IF(AND($M1161=$O$7,$B1161&lt;'111'!$N$11),"x","")</f>
        <v/>
      </c>
      <c r="R1161" s="55" t="str">
        <f>IF(ISERROR(FIND('112'!$M$9,G1161,1)),"",IF((AND(FIND('112'!$M$9,G1161,1)&gt;=1,$B1161&gt;='112'!$N$8,$B1161&lt;='112'!$O$8,OR($L1161='112'!$I$6,$M1161='112'!$I$6))),"x",""))</f>
        <v/>
      </c>
      <c r="S1161" s="55" t="str">
        <f>IF(ISERROR(FIND('112'!$M$9,G1161,1)),"",IF((AND(LEFT(G1161,2)=LEFT('112'!$M$9,2),B1161&lt;'112'!$N$8,$L1161='112'!$I$6)),"x",""))</f>
        <v/>
      </c>
      <c r="T1161" s="55" t="str">
        <f>IF(ISERROR(FIND('112'!$M$9,G1161,1)),"",IF((AND(RIGHT(G1161,2)=RIGHT('112'!$M$9,2),B1161&lt;'112'!$N$8,$M1161='112'!$I$6)),"x",""))</f>
        <v/>
      </c>
      <c r="U1161" s="55" t="str">
        <f>IF(AND('3411-CT'!$F$9=H1161,OR(LEFT(L1161,3)=$U$7,LEFT(M1161,3)=$U$7)),"x","")</f>
        <v/>
      </c>
      <c r="V1161" s="55" t="str">
        <f>IF(OR(TH!L1161=TH!$V$7,M1161=TH!$V$7),"x","")</f>
        <v/>
      </c>
      <c r="W1161" s="55" t="str">
        <f>IF(AND(OR(L1161="131",M1161="131"),H1161='131-CT'!$E$7),"x","")</f>
        <v/>
      </c>
      <c r="X1161" s="55" t="str">
        <f>IF(AND(B1161&gt;='IN-NX'!$P$3,B1161&lt;='IN-NX'!$Q$3,'IN-NX'!$D$7=D1161,OR(LEFT(TH!L1161,2)="15",LEFT(TH!M1161,2)="15")),"x","")</f>
        <v/>
      </c>
      <c r="Y1161" s="55" t="str">
        <f>IF(AND(OR(LEFT(TH!L1161,2)="15",LEFT(TH!M1161,2)="15"),'152-CT'!$J$8=TH!F1161),"x","")</f>
        <v/>
      </c>
      <c r="Z1161" s="55" t="str">
        <f>IF(AND(OR(LEFT(TH!L1161,2)="15",LEFT(TH!M1161,2)="15"),TK!$E$7=TH!F1161),"x","")</f>
        <v/>
      </c>
      <c r="AA1161" s="55" t="str">
        <f>IF(AND(B1161&lt;=NKC!$N$8,B1161&gt;=NKC!$M$8),"x","")</f>
        <v>x</v>
      </c>
    </row>
    <row r="1162" spans="1:29" s="226" customFormat="1" ht="15.75" customHeight="1">
      <c r="A1162" s="219" t="str">
        <f>IF(B1162&lt;&gt;"",IF(AND(B1162&gt;=_TM1,B1162&lt;=_TM2,OR(TH!L1162="1111",TH!M1162="1111")),TH!D1162,""),"")</f>
        <v/>
      </c>
      <c r="B1162" s="36">
        <f t="shared" si="51"/>
        <v>5</v>
      </c>
      <c r="C1162" s="205">
        <f t="shared" si="50"/>
        <v>41060</v>
      </c>
      <c r="D1162" s="205"/>
      <c r="E1162" s="205">
        <v>41060</v>
      </c>
      <c r="F1162" s="206" t="s">
        <v>1185</v>
      </c>
      <c r="G1162" s="581" t="s">
        <v>1368</v>
      </c>
      <c r="H1162" s="207" t="s">
        <v>1256</v>
      </c>
      <c r="I1162" s="277"/>
      <c r="J1162" s="277"/>
      <c r="K1162" s="38">
        <v>390400</v>
      </c>
      <c r="L1162" s="208" t="s">
        <v>49</v>
      </c>
      <c r="M1162" s="208" t="s">
        <v>549</v>
      </c>
      <c r="N1162" s="55" t="str">
        <f>IF(AND('331-CT'!$E$7=TH!H1162,OR(L1162="331",M1162="331")),"x","")</f>
        <v/>
      </c>
      <c r="O1162" s="55" t="str">
        <f>IF(AND($B1162&gt;='111'!$N$11,$B1162&lt;='111'!$O$11,OR($L1162=$O$7,$M1162=$O$7)),"x","")</f>
        <v/>
      </c>
      <c r="P1162" s="55" t="str">
        <f>IF(AND($L1162=$O$7,$B1162&lt;'111'!$N$11),"x","")</f>
        <v>x</v>
      </c>
      <c r="Q1162" s="55" t="str">
        <f>IF(AND($M1162=$O$7,$B1162&lt;'111'!$N$11),"x","")</f>
        <v/>
      </c>
      <c r="R1162" s="55" t="str">
        <f>IF(ISERROR(FIND('112'!$M$9,G1162,1)),"",IF((AND(FIND('112'!$M$9,G1162,1)&gt;=1,$B1162&gt;='112'!$N$8,$B1162&lt;='112'!$O$8,OR($L1162='112'!$I$6,$M1162='112'!$I$6))),"x",""))</f>
        <v/>
      </c>
      <c r="S1162" s="55" t="str">
        <f>IF(ISERROR(FIND('112'!$M$9,G1162,1)),"",IF((AND(LEFT(G1162,2)=LEFT('112'!$M$9,2),B1162&lt;'112'!$N$8,$L1162='112'!$I$6)),"x",""))</f>
        <v/>
      </c>
      <c r="T1162" s="55" t="str">
        <f>IF(ISERROR(FIND('112'!$M$9,G1162,1)),"",IF((AND(RIGHT(G1162,2)=RIGHT('112'!$M$9,2),B1162&lt;'112'!$N$8,$M1162='112'!$I$6)),"x",""))</f>
        <v/>
      </c>
      <c r="U1162" s="55" t="str">
        <f>IF(AND('3411-CT'!$F$9=H1162,OR(LEFT(L1162,3)=$U$7,LEFT(M1162,3)=$U$7)),"x","")</f>
        <v/>
      </c>
      <c r="V1162" s="55" t="str">
        <f>IF(OR(TH!L1162=TH!$V$7,M1162=TH!$V$7),"x","")</f>
        <v/>
      </c>
      <c r="W1162" s="55" t="str">
        <f>IF(AND(OR(L1162="131",M1162="131"),H1162='131-CT'!$E$7),"x","")</f>
        <v/>
      </c>
      <c r="X1162" s="55" t="str">
        <f>IF(AND(B1162&gt;='IN-NX'!$P$3,B1162&lt;='IN-NX'!$Q$3,'IN-NX'!$D$7=D1162,OR(LEFT(TH!L1162,2)="15",LEFT(TH!M1162,2)="15")),"x","")</f>
        <v/>
      </c>
      <c r="Y1162" s="55" t="str">
        <f>IF(AND(OR(LEFT(TH!L1162,2)="15",LEFT(TH!M1162,2)="15"),'152-CT'!$J$8=TH!F1162),"x","")</f>
        <v/>
      </c>
      <c r="Z1162" s="55" t="str">
        <f>IF(AND(OR(LEFT(TH!L1162,2)="15",LEFT(TH!M1162,2)="15"),TK!$E$7=TH!F1162),"x","")</f>
        <v/>
      </c>
      <c r="AA1162" s="55" t="str">
        <f>IF(AND(B1162&lt;=NKC!$N$8,B1162&gt;=NKC!$M$8),"x","")</f>
        <v>x</v>
      </c>
    </row>
    <row r="1163" spans="1:29" s="226" customFormat="1" ht="15.75" customHeight="1">
      <c r="A1163" s="219" t="str">
        <f>IF(B1163&lt;&gt;"",IF(AND(B1163&gt;=_TM1,B1163&lt;=_TM2,OR(TH!L1163="1111",TH!M1163="1111")),TH!D1163,""),"")</f>
        <v/>
      </c>
      <c r="B1163" s="36">
        <f t="shared" si="51"/>
        <v>5</v>
      </c>
      <c r="C1163" s="205">
        <f t="shared" si="50"/>
        <v>41060</v>
      </c>
      <c r="D1163" s="205"/>
      <c r="E1163" s="205">
        <v>41060</v>
      </c>
      <c r="F1163" s="206" t="s">
        <v>1183</v>
      </c>
      <c r="G1163" s="581" t="s">
        <v>1369</v>
      </c>
      <c r="H1163" s="225" t="s">
        <v>1370</v>
      </c>
      <c r="I1163" s="278">
        <v>3000</v>
      </c>
      <c r="J1163" s="278">
        <v>5000</v>
      </c>
      <c r="K1163" s="38">
        <f t="shared" si="49"/>
        <v>15000000</v>
      </c>
      <c r="L1163" s="208" t="s">
        <v>49</v>
      </c>
      <c r="M1163" s="208" t="s">
        <v>208</v>
      </c>
      <c r="N1163" s="55" t="str">
        <f>IF(AND('331-CT'!$E$7=TH!H1163,OR(L1163="331",M1163="331")),"x","")</f>
        <v/>
      </c>
      <c r="O1163" s="55" t="str">
        <f>IF(AND($B1163&gt;='111'!$N$11,$B1163&lt;='111'!$O$11,OR($L1163=$O$7,$M1163=$O$7)),"x","")</f>
        <v/>
      </c>
      <c r="P1163" s="55" t="str">
        <f>IF(AND($L1163=$O$7,$B1163&lt;'111'!$N$11),"x","")</f>
        <v>x</v>
      </c>
      <c r="Q1163" s="55" t="str">
        <f>IF(AND($M1163=$O$7,$B1163&lt;'111'!$N$11),"x","")</f>
        <v/>
      </c>
      <c r="R1163" s="55" t="str">
        <f>IF(ISERROR(FIND('112'!$M$9,G1163,1)),"",IF((AND(FIND('112'!$M$9,G1163,1)&gt;=1,$B1163&gt;='112'!$N$8,$B1163&lt;='112'!$O$8,OR($L1163='112'!$I$6,$M1163='112'!$I$6))),"x",""))</f>
        <v/>
      </c>
      <c r="S1163" s="55" t="str">
        <f>IF(ISERROR(FIND('112'!$M$9,G1163,1)),"",IF((AND(LEFT(G1163,2)=LEFT('112'!$M$9,2),B1163&lt;'112'!$N$8,$L1163='112'!$I$6)),"x",""))</f>
        <v/>
      </c>
      <c r="T1163" s="55" t="str">
        <f>IF(ISERROR(FIND('112'!$M$9,G1163,1)),"",IF((AND(RIGHT(G1163,2)=RIGHT('112'!$M$9,2),B1163&lt;'112'!$N$8,$M1163='112'!$I$6)),"x",""))</f>
        <v/>
      </c>
      <c r="U1163" s="55" t="str">
        <f>IF(AND('3411-CT'!$F$9=H1163,OR(LEFT(L1163,3)=$U$7,LEFT(M1163,3)=$U$7)),"x","")</f>
        <v/>
      </c>
      <c r="V1163" s="55" t="str">
        <f>IF(OR(TH!L1163=TH!$V$7,M1163=TH!$V$7),"x","")</f>
        <v/>
      </c>
      <c r="W1163" s="55" t="str">
        <f>IF(AND(OR(L1163="131",M1163="131"),H1163='131-CT'!$E$7),"x","")</f>
        <v/>
      </c>
      <c r="X1163" s="55" t="str">
        <f>IF(AND(B1163&gt;='IN-NX'!$P$3,B1163&lt;='IN-NX'!$Q$3,'IN-NX'!$D$7=D1163,OR(LEFT(TH!L1163,2)="15",LEFT(TH!M1163,2)="15")),"x","")</f>
        <v/>
      </c>
      <c r="Y1163" s="55" t="str">
        <f>IF(AND(OR(LEFT(TH!L1163,2)="15",LEFT(TH!M1163,2)="15"),'152-CT'!$J$8=TH!F1163),"x","")</f>
        <v/>
      </c>
      <c r="Z1163" s="55" t="str">
        <f>IF(AND(OR(LEFT(TH!L1163,2)="15",LEFT(TH!M1163,2)="15"),TK!$E$7=TH!F1163),"x","")</f>
        <v/>
      </c>
      <c r="AA1163" s="55" t="str">
        <f>IF(AND(B1163&lt;=NKC!$N$8,B1163&gt;=NKC!$M$8),"x","")</f>
        <v>x</v>
      </c>
    </row>
    <row r="1164" spans="1:29" s="226" customFormat="1" ht="15.75" customHeight="1">
      <c r="A1164" s="219" t="str">
        <f>IF(B1164&lt;&gt;"",IF(AND(B1164&gt;=_TM1,B1164&lt;=_TM2,OR(TH!L1164="1111",TH!M1164="1111")),TH!D1164,""),"")</f>
        <v/>
      </c>
      <c r="B1164" s="36">
        <f t="shared" si="51"/>
        <v>5</v>
      </c>
      <c r="C1164" s="205">
        <f t="shared" si="50"/>
        <v>41060</v>
      </c>
      <c r="D1164" s="205"/>
      <c r="E1164" s="205">
        <v>41060</v>
      </c>
      <c r="F1164" s="206" t="s">
        <v>1185</v>
      </c>
      <c r="G1164" s="581" t="s">
        <v>1369</v>
      </c>
      <c r="H1164" s="225" t="s">
        <v>1370</v>
      </c>
      <c r="I1164" s="277"/>
      <c r="J1164" s="277"/>
      <c r="K1164" s="38">
        <v>1500000</v>
      </c>
      <c r="L1164" s="208" t="s">
        <v>49</v>
      </c>
      <c r="M1164" s="208" t="s">
        <v>549</v>
      </c>
      <c r="N1164" s="55" t="str">
        <f>IF(AND('331-CT'!$E$7=TH!H1164,OR(L1164="331",M1164="331")),"x","")</f>
        <v/>
      </c>
      <c r="O1164" s="55" t="str">
        <f>IF(AND($B1164&gt;='111'!$N$11,$B1164&lt;='111'!$O$11,OR($L1164=$O$7,$M1164=$O$7)),"x","")</f>
        <v/>
      </c>
      <c r="P1164" s="55" t="str">
        <f>IF(AND($L1164=$O$7,$B1164&lt;'111'!$N$11),"x","")</f>
        <v>x</v>
      </c>
      <c r="Q1164" s="55" t="str">
        <f>IF(AND($M1164=$O$7,$B1164&lt;'111'!$N$11),"x","")</f>
        <v/>
      </c>
      <c r="R1164" s="55" t="str">
        <f>IF(ISERROR(FIND('112'!$M$9,G1164,1)),"",IF((AND(FIND('112'!$M$9,G1164,1)&gt;=1,$B1164&gt;='112'!$N$8,$B1164&lt;='112'!$O$8,OR($L1164='112'!$I$6,$M1164='112'!$I$6))),"x",""))</f>
        <v/>
      </c>
      <c r="S1164" s="55" t="str">
        <f>IF(ISERROR(FIND('112'!$M$9,G1164,1)),"",IF((AND(LEFT(G1164,2)=LEFT('112'!$M$9,2),B1164&lt;'112'!$N$8,$L1164='112'!$I$6)),"x",""))</f>
        <v/>
      </c>
      <c r="T1164" s="55" t="str">
        <f>IF(ISERROR(FIND('112'!$M$9,G1164,1)),"",IF((AND(RIGHT(G1164,2)=RIGHT('112'!$M$9,2),B1164&lt;'112'!$N$8,$M1164='112'!$I$6)),"x",""))</f>
        <v/>
      </c>
      <c r="U1164" s="55" t="str">
        <f>IF(AND('3411-CT'!$F$9=H1164,OR(LEFT(L1164,3)=$U$7,LEFT(M1164,3)=$U$7)),"x","")</f>
        <v/>
      </c>
      <c r="V1164" s="55" t="str">
        <f>IF(OR(TH!L1164=TH!$V$7,M1164=TH!$V$7),"x","")</f>
        <v/>
      </c>
      <c r="W1164" s="55" t="str">
        <f>IF(AND(OR(L1164="131",M1164="131"),H1164='131-CT'!$E$7),"x","")</f>
        <v/>
      </c>
      <c r="X1164" s="55" t="str">
        <f>IF(AND(B1164&gt;='IN-NX'!$P$3,B1164&lt;='IN-NX'!$Q$3,'IN-NX'!$D$7=D1164,OR(LEFT(TH!L1164,2)="15",LEFT(TH!M1164,2)="15")),"x","")</f>
        <v/>
      </c>
      <c r="Y1164" s="55" t="str">
        <f>IF(AND(OR(LEFT(TH!L1164,2)="15",LEFT(TH!M1164,2)="15"),'152-CT'!$J$8=TH!F1164),"x","")</f>
        <v/>
      </c>
      <c r="Z1164" s="55" t="str">
        <f>IF(AND(OR(LEFT(TH!L1164,2)="15",LEFT(TH!M1164,2)="15"),TK!$E$7=TH!F1164),"x","")</f>
        <v/>
      </c>
      <c r="AA1164" s="55" t="str">
        <f>IF(AND(B1164&lt;=NKC!$N$8,B1164&gt;=NKC!$M$8),"x","")</f>
        <v>x</v>
      </c>
    </row>
    <row r="1165" spans="1:29" s="226" customFormat="1" ht="15.75" customHeight="1">
      <c r="A1165" s="219" t="str">
        <f>IF(B1165&lt;&gt;"",IF(AND(B1165&gt;=_TM1,B1165&lt;=_TM2,OR(TH!L1165="1111",TH!M1165="1111")),TH!D1165,""),"")</f>
        <v/>
      </c>
      <c r="B1165" s="36">
        <f t="shared" si="51"/>
        <v>5</v>
      </c>
      <c r="C1165" s="205">
        <f t="shared" si="50"/>
        <v>41060</v>
      </c>
      <c r="D1165" s="205"/>
      <c r="E1165" s="205">
        <v>41060</v>
      </c>
      <c r="F1165" s="206" t="s">
        <v>1156</v>
      </c>
      <c r="G1165" s="581" t="s">
        <v>1371</v>
      </c>
      <c r="H1165" s="7" t="s">
        <v>1131</v>
      </c>
      <c r="I1165" s="277">
        <v>546</v>
      </c>
      <c r="J1165" s="277">
        <v>12790</v>
      </c>
      <c r="K1165" s="38">
        <f t="shared" si="49"/>
        <v>6983340</v>
      </c>
      <c r="L1165" s="208" t="s">
        <v>311</v>
      </c>
      <c r="M1165" s="208" t="s">
        <v>208</v>
      </c>
      <c r="N1165" s="55" t="str">
        <f>IF(AND('331-CT'!$E$7=TH!H1165,OR(L1165="331",M1165="331")),"x","")</f>
        <v/>
      </c>
      <c r="O1165" s="55" t="str">
        <f>IF(AND($B1165&gt;='111'!$N$11,$B1165&lt;='111'!$O$11,OR($L1165=$O$7,$M1165=$O$7)),"x","")</f>
        <v/>
      </c>
      <c r="P1165" s="55" t="str">
        <f>IF(AND($L1165=$O$7,$B1165&lt;'111'!$N$11),"x","")</f>
        <v/>
      </c>
      <c r="Q1165" s="55" t="str">
        <f>IF(AND($M1165=$O$7,$B1165&lt;'111'!$N$11),"x","")</f>
        <v/>
      </c>
      <c r="R1165" s="55" t="str">
        <f>IF(ISERROR(FIND('112'!$M$9,G1165,1)),"",IF((AND(FIND('112'!$M$9,G1165,1)&gt;=1,$B1165&gt;='112'!$N$8,$B1165&lt;='112'!$O$8,OR($L1165='112'!$I$6,$M1165='112'!$I$6))),"x",""))</f>
        <v/>
      </c>
      <c r="S1165" s="55" t="str">
        <f>IF(ISERROR(FIND('112'!$M$9,G1165,1)),"",IF((AND(LEFT(G1165,2)=LEFT('112'!$M$9,2),B1165&lt;'112'!$N$8,$L1165='112'!$I$6)),"x",""))</f>
        <v/>
      </c>
      <c r="T1165" s="55" t="str">
        <f>IF(ISERROR(FIND('112'!$M$9,G1165,1)),"",IF((AND(RIGHT(G1165,2)=RIGHT('112'!$M$9,2),B1165&lt;'112'!$N$8,$M1165='112'!$I$6)),"x",""))</f>
        <v/>
      </c>
      <c r="U1165" s="55" t="str">
        <f>IF(AND('3411-CT'!$F$9=H1165,OR(LEFT(L1165,3)=$U$7,LEFT(M1165,3)=$U$7)),"x","")</f>
        <v/>
      </c>
      <c r="V1165" s="55" t="str">
        <f>IF(OR(TH!L1165=TH!$V$7,M1165=TH!$V$7),"x","")</f>
        <v/>
      </c>
      <c r="W1165" s="55" t="str">
        <f>IF(AND(OR(L1165="131",M1165="131"),H1165='131-CT'!$E$7),"x","")</f>
        <v/>
      </c>
      <c r="X1165" s="55" t="str">
        <f>IF(AND(B1165&gt;='IN-NX'!$P$3,B1165&lt;='IN-NX'!$Q$3,'IN-NX'!$D$7=D1165,OR(LEFT(TH!L1165,2)="15",LEFT(TH!M1165,2)="15")),"x","")</f>
        <v/>
      </c>
      <c r="Y1165" s="55" t="str">
        <f>IF(AND(OR(LEFT(TH!L1165,2)="15",LEFT(TH!M1165,2)="15"),'152-CT'!$J$8=TH!F1165),"x","")</f>
        <v/>
      </c>
      <c r="Z1165" s="55" t="str">
        <f>IF(AND(OR(LEFT(TH!L1165,2)="15",LEFT(TH!M1165,2)="15"),TK!$E$7=TH!F1165),"x","")</f>
        <v/>
      </c>
      <c r="AA1165" s="55" t="str">
        <f>IF(AND(B1165&lt;=NKC!$N$8,B1165&gt;=NKC!$M$8),"x","")</f>
        <v>x</v>
      </c>
    </row>
    <row r="1166" spans="1:29" s="226" customFormat="1" ht="15.75" customHeight="1">
      <c r="A1166" s="219" t="str">
        <f>IF(B1166&lt;&gt;"",IF(AND(B1166&gt;=_TM1,B1166&lt;=_TM2,OR(TH!L1166="1111",TH!M1166="1111")),TH!D1166,""),"")</f>
        <v/>
      </c>
      <c r="B1166" s="36">
        <f t="shared" si="51"/>
        <v>5</v>
      </c>
      <c r="C1166" s="205">
        <f t="shared" si="50"/>
        <v>41060</v>
      </c>
      <c r="D1166" s="205"/>
      <c r="E1166" s="205">
        <v>41060</v>
      </c>
      <c r="F1166" s="206" t="s">
        <v>1185</v>
      </c>
      <c r="G1166" s="581" t="s">
        <v>1371</v>
      </c>
      <c r="H1166" s="7" t="s">
        <v>1131</v>
      </c>
      <c r="I1166" s="278"/>
      <c r="J1166" s="278"/>
      <c r="K1166" s="38">
        <v>698334</v>
      </c>
      <c r="L1166" s="208" t="s">
        <v>311</v>
      </c>
      <c r="M1166" s="208" t="s">
        <v>549</v>
      </c>
      <c r="N1166" s="55" t="str">
        <f>IF(AND('331-CT'!$E$7=TH!H1166,OR(L1166="331",M1166="331")),"x","")</f>
        <v/>
      </c>
      <c r="O1166" s="55" t="str">
        <f>IF(AND($B1166&gt;='111'!$N$11,$B1166&lt;='111'!$O$11,OR($L1166=$O$7,$M1166=$O$7)),"x","")</f>
        <v/>
      </c>
      <c r="P1166" s="55" t="str">
        <f>IF(AND($L1166=$O$7,$B1166&lt;'111'!$N$11),"x","")</f>
        <v/>
      </c>
      <c r="Q1166" s="55" t="str">
        <f>IF(AND($M1166=$O$7,$B1166&lt;'111'!$N$11),"x","")</f>
        <v/>
      </c>
      <c r="R1166" s="55" t="str">
        <f>IF(ISERROR(FIND('112'!$M$9,G1166,1)),"",IF((AND(FIND('112'!$M$9,G1166,1)&gt;=1,$B1166&gt;='112'!$N$8,$B1166&lt;='112'!$O$8,OR($L1166='112'!$I$6,$M1166='112'!$I$6))),"x",""))</f>
        <v/>
      </c>
      <c r="S1166" s="55" t="str">
        <f>IF(ISERROR(FIND('112'!$M$9,G1166,1)),"",IF((AND(LEFT(G1166,2)=LEFT('112'!$M$9,2),B1166&lt;'112'!$N$8,$L1166='112'!$I$6)),"x",""))</f>
        <v/>
      </c>
      <c r="T1166" s="55" t="str">
        <f>IF(ISERROR(FIND('112'!$M$9,G1166,1)),"",IF((AND(RIGHT(G1166,2)=RIGHT('112'!$M$9,2),B1166&lt;'112'!$N$8,$M1166='112'!$I$6)),"x",""))</f>
        <v/>
      </c>
      <c r="U1166" s="55" t="str">
        <f>IF(AND('3411-CT'!$F$9=H1166,OR(LEFT(L1166,3)=$U$7,LEFT(M1166,3)=$U$7)),"x","")</f>
        <v/>
      </c>
      <c r="V1166" s="55" t="str">
        <f>IF(OR(TH!L1166=TH!$V$7,M1166=TH!$V$7),"x","")</f>
        <v/>
      </c>
      <c r="W1166" s="55" t="str">
        <f>IF(AND(OR(L1166="131",M1166="131"),H1166='131-CT'!$E$7),"x","")</f>
        <v/>
      </c>
      <c r="X1166" s="55" t="str">
        <f>IF(AND(B1166&gt;='IN-NX'!$P$3,B1166&lt;='IN-NX'!$Q$3,'IN-NX'!$D$7=D1166,OR(LEFT(TH!L1166,2)="15",LEFT(TH!M1166,2)="15")),"x","")</f>
        <v/>
      </c>
      <c r="Y1166" s="55" t="str">
        <f>IF(AND(OR(LEFT(TH!L1166,2)="15",LEFT(TH!M1166,2)="15"),'152-CT'!$J$8=TH!F1166),"x","")</f>
        <v/>
      </c>
      <c r="Z1166" s="55" t="str">
        <f>IF(AND(OR(LEFT(TH!L1166,2)="15",LEFT(TH!M1166,2)="15"),TK!$E$7=TH!F1166),"x","")</f>
        <v/>
      </c>
      <c r="AA1166" s="55" t="str">
        <f>IF(AND(B1166&lt;=NKC!$N$8,B1166&gt;=NKC!$M$8),"x","")</f>
        <v>x</v>
      </c>
    </row>
    <row r="1167" spans="1:29" ht="15.75" customHeight="1">
      <c r="A1167" s="219" t="str">
        <f>IF(B1167&lt;&gt;"",IF(AND(B1167&gt;=_TM1,B1167&lt;=_TM2,OR(TH!L1167="1111",TH!M1167="1111")),TH!D1167,""),"")</f>
        <v/>
      </c>
      <c r="B1167" s="36">
        <f t="shared" si="51"/>
        <v>6</v>
      </c>
      <c r="C1167" s="205">
        <f t="shared" si="50"/>
        <v>41061</v>
      </c>
      <c r="D1167" s="205"/>
      <c r="E1167" s="205">
        <v>41061</v>
      </c>
      <c r="F1167" s="206" t="s">
        <v>1372</v>
      </c>
      <c r="G1167" s="581" t="s">
        <v>1373</v>
      </c>
      <c r="H1167" s="207" t="s">
        <v>1207</v>
      </c>
      <c r="I1167" s="277">
        <v>390</v>
      </c>
      <c r="J1167" s="277">
        <v>7250</v>
      </c>
      <c r="K1167" s="38">
        <f t="shared" si="49"/>
        <v>2827500</v>
      </c>
      <c r="L1167" s="208" t="s">
        <v>49</v>
      </c>
      <c r="M1167" s="208" t="s">
        <v>208</v>
      </c>
      <c r="N1167" s="55" t="str">
        <f>IF(AND('331-CT'!$E$7=TH!H1167,OR(L1167="331",M1167="331")),"x","")</f>
        <v/>
      </c>
      <c r="O1167" s="55" t="str">
        <f>IF(AND($B1167&gt;='111'!$N$11,$B1167&lt;='111'!$O$11,OR($L1167=$O$7,$M1167=$O$7)),"x","")</f>
        <v/>
      </c>
      <c r="P1167" s="55" t="str">
        <f>IF(AND($L1167=$O$7,$B1167&lt;'111'!$N$11),"x","")</f>
        <v>x</v>
      </c>
      <c r="Q1167" s="55" t="str">
        <f>IF(AND($M1167=$O$7,$B1167&lt;'111'!$N$11),"x","")</f>
        <v/>
      </c>
      <c r="R1167" s="55" t="str">
        <f>IF(ISERROR(FIND('112'!$M$9,G1167,1)),"",IF((AND(FIND('112'!$M$9,G1167,1)&gt;=1,$B1167&gt;='112'!$N$8,$B1167&lt;='112'!$O$8,OR($L1167='112'!$I$6,$M1167='112'!$I$6))),"x",""))</f>
        <v/>
      </c>
      <c r="S1167" s="55" t="str">
        <f>IF(ISERROR(FIND('112'!$M$9,G1167,1)),"",IF((AND(LEFT(G1167,2)=LEFT('112'!$M$9,2),B1167&lt;'112'!$N$8,$L1167='112'!$I$6)),"x",""))</f>
        <v/>
      </c>
      <c r="T1167" s="55" t="str">
        <f>IF(ISERROR(FIND('112'!$M$9,G1167,1)),"",IF((AND(RIGHT(G1167,2)=RIGHT('112'!$M$9,2),B1167&lt;'112'!$N$8,$M1167='112'!$I$6)),"x",""))</f>
        <v/>
      </c>
      <c r="U1167" s="55" t="str">
        <f>IF(AND('3411-CT'!$F$9=H1167,OR(LEFT(L1167,3)=$U$7,LEFT(M1167,3)=$U$7)),"x","")</f>
        <v/>
      </c>
      <c r="V1167" s="55" t="str">
        <f>IF(OR(TH!L1167=TH!$V$7,M1167=TH!$V$7),"x","")</f>
        <v/>
      </c>
      <c r="W1167" s="55" t="str">
        <f>IF(AND(OR(L1167="131",M1167="131"),H1167='131-CT'!$E$7),"x","")</f>
        <v/>
      </c>
      <c r="X1167" s="55" t="str">
        <f>IF(AND(B1167&gt;='IN-NX'!$P$3,B1167&lt;='IN-NX'!$Q$3,'IN-NX'!$D$7=D1167,OR(LEFT(TH!L1167,2)="15",LEFT(TH!M1167,2)="15")),"x","")</f>
        <v/>
      </c>
      <c r="Y1167" s="55" t="str">
        <f>IF(AND(OR(LEFT(TH!L1167,2)="15",LEFT(TH!M1167,2)="15"),'152-CT'!$J$8=TH!F1167),"x","")</f>
        <v/>
      </c>
      <c r="Z1167" s="55" t="str">
        <f>IF(AND(OR(LEFT(TH!L1167,2)="15",LEFT(TH!M1167,2)="15"),TK!$E$7=TH!F1167),"x","")</f>
        <v/>
      </c>
      <c r="AA1167" s="55" t="str">
        <f>IF(AND(B1167&lt;=NKC!$N$8,B1167&gt;=NKC!$M$8),"x","")</f>
        <v>x</v>
      </c>
    </row>
    <row r="1168" spans="1:29" ht="15.75" customHeight="1">
      <c r="A1168" s="219" t="str">
        <f>IF(B1168&lt;&gt;"",IF(AND(B1168&gt;=_TM1,B1168&lt;=_TM2,OR(TH!L1168="1111",TH!M1168="1111")),TH!D1168,""),"")</f>
        <v/>
      </c>
      <c r="B1168" s="36">
        <f t="shared" si="51"/>
        <v>6</v>
      </c>
      <c r="C1168" s="205">
        <f t="shared" si="50"/>
        <v>41061</v>
      </c>
      <c r="D1168" s="205"/>
      <c r="E1168" s="205">
        <v>41061</v>
      </c>
      <c r="F1168" s="206" t="s">
        <v>1374</v>
      </c>
      <c r="G1168" s="581" t="s">
        <v>1373</v>
      </c>
      <c r="H1168" s="207" t="s">
        <v>1207</v>
      </c>
      <c r="I1168" s="277">
        <v>230</v>
      </c>
      <c r="J1168" s="277">
        <v>7250</v>
      </c>
      <c r="K1168" s="38">
        <f t="shared" si="49"/>
        <v>1667500</v>
      </c>
      <c r="L1168" s="208" t="s">
        <v>49</v>
      </c>
      <c r="M1168" s="208" t="s">
        <v>208</v>
      </c>
      <c r="N1168" s="55" t="str">
        <f>IF(AND('331-CT'!$E$7=TH!H1168,OR(L1168="331",M1168="331")),"x","")</f>
        <v/>
      </c>
      <c r="O1168" s="55" t="str">
        <f>IF(AND($B1168&gt;='111'!$N$11,$B1168&lt;='111'!$O$11,OR($L1168=$O$7,$M1168=$O$7)),"x","")</f>
        <v/>
      </c>
      <c r="P1168" s="55" t="str">
        <f>IF(AND($L1168=$O$7,$B1168&lt;'111'!$N$11),"x","")</f>
        <v>x</v>
      </c>
      <c r="Q1168" s="55" t="str">
        <f>IF(AND($M1168=$O$7,$B1168&lt;'111'!$N$11),"x","")</f>
        <v/>
      </c>
      <c r="R1168" s="55" t="str">
        <f>IF(ISERROR(FIND('112'!$M$9,G1168,1)),"",IF((AND(FIND('112'!$M$9,G1168,1)&gt;=1,$B1168&gt;='112'!$N$8,$B1168&lt;='112'!$O$8,OR($L1168='112'!$I$6,$M1168='112'!$I$6))),"x",""))</f>
        <v/>
      </c>
      <c r="S1168" s="55" t="str">
        <f>IF(ISERROR(FIND('112'!$M$9,G1168,1)),"",IF((AND(LEFT(G1168,2)=LEFT('112'!$M$9,2),B1168&lt;'112'!$N$8,$L1168='112'!$I$6)),"x",""))</f>
        <v/>
      </c>
      <c r="T1168" s="55" t="str">
        <f>IF(ISERROR(FIND('112'!$M$9,G1168,1)),"",IF((AND(RIGHT(G1168,2)=RIGHT('112'!$M$9,2),B1168&lt;'112'!$N$8,$M1168='112'!$I$6)),"x",""))</f>
        <v/>
      </c>
      <c r="U1168" s="55" t="str">
        <f>IF(AND('3411-CT'!$F$9=H1168,OR(LEFT(L1168,3)=$U$7,LEFT(M1168,3)=$U$7)),"x","")</f>
        <v/>
      </c>
      <c r="V1168" s="55" t="str">
        <f>IF(OR(TH!L1168=TH!$V$7,M1168=TH!$V$7),"x","")</f>
        <v/>
      </c>
      <c r="W1168" s="55" t="str">
        <f>IF(AND(OR(L1168="131",M1168="131"),H1168='131-CT'!$E$7),"x","")</f>
        <v/>
      </c>
      <c r="X1168" s="55" t="str">
        <f>IF(AND(B1168&gt;='IN-NX'!$P$3,B1168&lt;='IN-NX'!$Q$3,'IN-NX'!$D$7=D1168,OR(LEFT(TH!L1168,2)="15",LEFT(TH!M1168,2)="15")),"x","")</f>
        <v/>
      </c>
      <c r="Y1168" s="55" t="str">
        <f>IF(AND(OR(LEFT(TH!L1168,2)="15",LEFT(TH!M1168,2)="15"),'152-CT'!$J$8=TH!F1168),"x","")</f>
        <v/>
      </c>
      <c r="Z1168" s="55" t="str">
        <f>IF(AND(OR(LEFT(TH!L1168,2)="15",LEFT(TH!M1168,2)="15"),TK!$E$7=TH!F1168),"x","")</f>
        <v/>
      </c>
      <c r="AA1168" s="55" t="str">
        <f>IF(AND(B1168&lt;=NKC!$N$8,B1168&gt;=NKC!$M$8),"x","")</f>
        <v>x</v>
      </c>
    </row>
    <row r="1169" spans="1:29" ht="15.75" customHeight="1">
      <c r="A1169" s="219" t="str">
        <f>IF(B1169&lt;&gt;"",IF(AND(B1169&gt;=_TM1,B1169&lt;=_TM2,OR(TH!L1169="1111",TH!M1169="1111")),TH!D1169,""),"")</f>
        <v/>
      </c>
      <c r="B1169" s="36">
        <f t="shared" si="51"/>
        <v>6</v>
      </c>
      <c r="C1169" s="205">
        <f t="shared" si="50"/>
        <v>41061</v>
      </c>
      <c r="D1169" s="205"/>
      <c r="E1169" s="205">
        <v>41061</v>
      </c>
      <c r="F1169" s="206" t="s">
        <v>1375</v>
      </c>
      <c r="G1169" s="581" t="s">
        <v>1373</v>
      </c>
      <c r="H1169" s="207" t="s">
        <v>1207</v>
      </c>
      <c r="I1169" s="277">
        <v>196</v>
      </c>
      <c r="J1169" s="277">
        <v>6680</v>
      </c>
      <c r="K1169" s="38">
        <f t="shared" si="49"/>
        <v>1309280</v>
      </c>
      <c r="L1169" s="208" t="s">
        <v>49</v>
      </c>
      <c r="M1169" s="208" t="s">
        <v>208</v>
      </c>
      <c r="N1169" s="55" t="str">
        <f>IF(AND('331-CT'!$E$7=TH!H1169,OR(L1169="331",M1169="331")),"x","")</f>
        <v/>
      </c>
      <c r="O1169" s="55" t="str">
        <f>IF(AND($B1169&gt;='111'!$N$11,$B1169&lt;='111'!$O$11,OR($L1169=$O$7,$M1169=$O$7)),"x","")</f>
        <v/>
      </c>
      <c r="P1169" s="55" t="str">
        <f>IF(AND($L1169=$O$7,$B1169&lt;'111'!$N$11),"x","")</f>
        <v>x</v>
      </c>
      <c r="Q1169" s="55" t="str">
        <f>IF(AND($M1169=$O$7,$B1169&lt;'111'!$N$11),"x","")</f>
        <v/>
      </c>
      <c r="R1169" s="55" t="str">
        <f>IF(ISERROR(FIND('112'!$M$9,G1169,1)),"",IF((AND(FIND('112'!$M$9,G1169,1)&gt;=1,$B1169&gt;='112'!$N$8,$B1169&lt;='112'!$O$8,OR($L1169='112'!$I$6,$M1169='112'!$I$6))),"x",""))</f>
        <v/>
      </c>
      <c r="S1169" s="55" t="str">
        <f>IF(ISERROR(FIND('112'!$M$9,G1169,1)),"",IF((AND(LEFT(G1169,2)=LEFT('112'!$M$9,2),B1169&lt;'112'!$N$8,$L1169='112'!$I$6)),"x",""))</f>
        <v/>
      </c>
      <c r="T1169" s="55" t="str">
        <f>IF(ISERROR(FIND('112'!$M$9,G1169,1)),"",IF((AND(RIGHT(G1169,2)=RIGHT('112'!$M$9,2),B1169&lt;'112'!$N$8,$M1169='112'!$I$6)),"x",""))</f>
        <v/>
      </c>
      <c r="U1169" s="55" t="str">
        <f>IF(AND('3411-CT'!$F$9=H1169,OR(LEFT(L1169,3)=$U$7,LEFT(M1169,3)=$U$7)),"x","")</f>
        <v/>
      </c>
      <c r="V1169" s="55" t="str">
        <f>IF(OR(TH!L1169=TH!$V$7,M1169=TH!$V$7),"x","")</f>
        <v/>
      </c>
      <c r="W1169" s="55" t="str">
        <f>IF(AND(OR(L1169="131",M1169="131"),H1169='131-CT'!$E$7),"x","")</f>
        <v/>
      </c>
      <c r="X1169" s="55" t="str">
        <f>IF(AND(B1169&gt;='IN-NX'!$P$3,B1169&lt;='IN-NX'!$Q$3,'IN-NX'!$D$7=D1169,OR(LEFT(TH!L1169,2)="15",LEFT(TH!M1169,2)="15")),"x","")</f>
        <v/>
      </c>
      <c r="Y1169" s="55" t="str">
        <f>IF(AND(OR(LEFT(TH!L1169,2)="15",LEFT(TH!M1169,2)="15"),'152-CT'!$J$8=TH!F1169),"x","")</f>
        <v/>
      </c>
      <c r="Z1169" s="55" t="str">
        <f>IF(AND(OR(LEFT(TH!L1169,2)="15",LEFT(TH!M1169,2)="15"),TK!$E$7=TH!F1169),"x","")</f>
        <v/>
      </c>
      <c r="AA1169" s="55" t="str">
        <f>IF(AND(B1169&lt;=NKC!$N$8,B1169&gt;=NKC!$M$8),"x","")</f>
        <v>x</v>
      </c>
    </row>
    <row r="1170" spans="1:29" ht="15.75" customHeight="1">
      <c r="A1170" s="219" t="str">
        <f>IF(B1170&lt;&gt;"",IF(AND(B1170&gt;=_TM1,B1170&lt;=_TM2,OR(TH!L1170="1111",TH!M1170="1111")),TH!D1170,""),"")</f>
        <v/>
      </c>
      <c r="B1170" s="36">
        <f t="shared" si="51"/>
        <v>6</v>
      </c>
      <c r="C1170" s="205">
        <f t="shared" si="50"/>
        <v>41061</v>
      </c>
      <c r="D1170" s="205"/>
      <c r="E1170" s="205">
        <v>41061</v>
      </c>
      <c r="F1170" s="206" t="s">
        <v>1185</v>
      </c>
      <c r="G1170" s="581" t="s">
        <v>1373</v>
      </c>
      <c r="H1170" s="207" t="s">
        <v>1207</v>
      </c>
      <c r="I1170" s="277"/>
      <c r="J1170" s="277"/>
      <c r="K1170" s="38">
        <v>580428</v>
      </c>
      <c r="L1170" s="208" t="s">
        <v>49</v>
      </c>
      <c r="M1170" s="208" t="s">
        <v>549</v>
      </c>
      <c r="N1170" s="55" t="str">
        <f>IF(AND('331-CT'!$E$7=TH!H1170,OR(L1170="331",M1170="331")),"x","")</f>
        <v/>
      </c>
      <c r="O1170" s="55" t="str">
        <f>IF(AND($B1170&gt;='111'!$N$11,$B1170&lt;='111'!$O$11,OR($L1170=$O$7,$M1170=$O$7)),"x","")</f>
        <v/>
      </c>
      <c r="P1170" s="55" t="str">
        <f>IF(AND($L1170=$O$7,$B1170&lt;'111'!$N$11),"x","")</f>
        <v>x</v>
      </c>
      <c r="Q1170" s="55" t="str">
        <f>IF(AND($M1170=$O$7,$B1170&lt;'111'!$N$11),"x","")</f>
        <v/>
      </c>
      <c r="R1170" s="55" t="str">
        <f>IF(ISERROR(FIND('112'!$M$9,G1170,1)),"",IF((AND(FIND('112'!$M$9,G1170,1)&gt;=1,$B1170&gt;='112'!$N$8,$B1170&lt;='112'!$O$8,OR($L1170='112'!$I$6,$M1170='112'!$I$6))),"x",""))</f>
        <v/>
      </c>
      <c r="S1170" s="55" t="str">
        <f>IF(ISERROR(FIND('112'!$M$9,G1170,1)),"",IF((AND(LEFT(G1170,2)=LEFT('112'!$M$9,2),B1170&lt;'112'!$N$8,$L1170='112'!$I$6)),"x",""))</f>
        <v/>
      </c>
      <c r="T1170" s="55" t="str">
        <f>IF(ISERROR(FIND('112'!$M$9,G1170,1)),"",IF((AND(RIGHT(G1170,2)=RIGHT('112'!$M$9,2),B1170&lt;'112'!$N$8,$M1170='112'!$I$6)),"x",""))</f>
        <v/>
      </c>
      <c r="U1170" s="55" t="str">
        <f>IF(AND('3411-CT'!$F$9=H1170,OR(LEFT(L1170,3)=$U$7,LEFT(M1170,3)=$U$7)),"x","")</f>
        <v/>
      </c>
      <c r="V1170" s="55" t="str">
        <f>IF(OR(TH!L1170=TH!$V$7,M1170=TH!$V$7),"x","")</f>
        <v/>
      </c>
      <c r="W1170" s="55" t="str">
        <f>IF(AND(OR(L1170="131",M1170="131"),H1170='131-CT'!$E$7),"x","")</f>
        <v/>
      </c>
      <c r="X1170" s="55" t="str">
        <f>IF(AND(B1170&gt;='IN-NX'!$P$3,B1170&lt;='IN-NX'!$Q$3,'IN-NX'!$D$7=D1170,OR(LEFT(TH!L1170,2)="15",LEFT(TH!M1170,2)="15")),"x","")</f>
        <v/>
      </c>
      <c r="Y1170" s="55" t="str">
        <f>IF(AND(OR(LEFT(TH!L1170,2)="15",LEFT(TH!M1170,2)="15"),'152-CT'!$J$8=TH!F1170),"x","")</f>
        <v/>
      </c>
      <c r="Z1170" s="55" t="str">
        <f>IF(AND(OR(LEFT(TH!L1170,2)="15",LEFT(TH!M1170,2)="15"),TK!$E$7=TH!F1170),"x","")</f>
        <v/>
      </c>
      <c r="AA1170" s="55" t="str">
        <f>IF(AND(B1170&lt;=NKC!$N$8,B1170&gt;=NKC!$M$8),"x","")</f>
        <v>x</v>
      </c>
      <c r="AC1170" s="226"/>
    </row>
    <row r="1171" spans="1:29" ht="15.75" customHeight="1">
      <c r="A1171" s="219" t="str">
        <f>IF(B1171&lt;&gt;"",IF(AND(B1171&gt;=_TM1,B1171&lt;=_TM2,OR(TH!L1171="1111",TH!M1171="1111")),TH!D1171,""),"")</f>
        <v/>
      </c>
      <c r="B1171" s="36">
        <f t="shared" si="51"/>
        <v>6</v>
      </c>
      <c r="C1171" s="205">
        <f t="shared" si="50"/>
        <v>41069</v>
      </c>
      <c r="D1171" s="205"/>
      <c r="E1171" s="205">
        <v>41069</v>
      </c>
      <c r="F1171" s="206" t="s">
        <v>1376</v>
      </c>
      <c r="G1171" s="581" t="s">
        <v>1377</v>
      </c>
      <c r="H1171" s="48" t="s">
        <v>1137</v>
      </c>
      <c r="I1171" s="277">
        <v>790</v>
      </c>
      <c r="J1171" s="277">
        <v>28520</v>
      </c>
      <c r="K1171" s="38">
        <f t="shared" si="49"/>
        <v>22530800</v>
      </c>
      <c r="L1171" s="208" t="s">
        <v>311</v>
      </c>
      <c r="M1171" s="208" t="s">
        <v>208</v>
      </c>
      <c r="N1171" s="55" t="str">
        <f>IF(AND('331-CT'!$E$7=TH!H1171,OR(L1171="331",M1171="331")),"x","")</f>
        <v/>
      </c>
      <c r="O1171" s="55" t="str">
        <f>IF(AND($B1171&gt;='111'!$N$11,$B1171&lt;='111'!$O$11,OR($L1171=$O$7,$M1171=$O$7)),"x","")</f>
        <v/>
      </c>
      <c r="P1171" s="55" t="str">
        <f>IF(AND($L1171=$O$7,$B1171&lt;'111'!$N$11),"x","")</f>
        <v/>
      </c>
      <c r="Q1171" s="55" t="str">
        <f>IF(AND($M1171=$O$7,$B1171&lt;'111'!$N$11),"x","")</f>
        <v/>
      </c>
      <c r="R1171" s="55" t="str">
        <f>IF(ISERROR(FIND('112'!$M$9,G1171,1)),"",IF((AND(FIND('112'!$M$9,G1171,1)&gt;=1,$B1171&gt;='112'!$N$8,$B1171&lt;='112'!$O$8,OR($L1171='112'!$I$6,$M1171='112'!$I$6))),"x",""))</f>
        <v/>
      </c>
      <c r="S1171" s="55" t="str">
        <f>IF(ISERROR(FIND('112'!$M$9,G1171,1)),"",IF((AND(LEFT(G1171,2)=LEFT('112'!$M$9,2),B1171&lt;'112'!$N$8,$L1171='112'!$I$6)),"x",""))</f>
        <v/>
      </c>
      <c r="T1171" s="55" t="str">
        <f>IF(ISERROR(FIND('112'!$M$9,G1171,1)),"",IF((AND(RIGHT(G1171,2)=RIGHT('112'!$M$9,2),B1171&lt;'112'!$N$8,$M1171='112'!$I$6)),"x",""))</f>
        <v/>
      </c>
      <c r="U1171" s="55" t="str">
        <f>IF(AND('3411-CT'!$F$9=H1171,OR(LEFT(L1171,3)=$U$7,LEFT(M1171,3)=$U$7)),"x","")</f>
        <v/>
      </c>
      <c r="V1171" s="55" t="str">
        <f>IF(OR(TH!L1171=TH!$V$7,M1171=TH!$V$7),"x","")</f>
        <v/>
      </c>
      <c r="W1171" s="55" t="str">
        <f>IF(AND(OR(L1171="131",M1171="131"),H1171='131-CT'!$E$7),"x","")</f>
        <v/>
      </c>
      <c r="X1171" s="55" t="str">
        <f>IF(AND(B1171&gt;='IN-NX'!$P$3,B1171&lt;='IN-NX'!$Q$3,'IN-NX'!$D$7=D1171,OR(LEFT(TH!L1171,2)="15",LEFT(TH!M1171,2)="15")),"x","")</f>
        <v/>
      </c>
      <c r="Y1171" s="55" t="str">
        <f>IF(AND(OR(LEFT(TH!L1171,2)="15",LEFT(TH!M1171,2)="15"),'152-CT'!$J$8=TH!F1171),"x","")</f>
        <v/>
      </c>
      <c r="Z1171" s="55" t="str">
        <f>IF(AND(OR(LEFT(TH!L1171,2)="15",LEFT(TH!M1171,2)="15"),TK!$E$7=TH!F1171),"x","")</f>
        <v/>
      </c>
      <c r="AA1171" s="55" t="str">
        <f>IF(AND(B1171&lt;=NKC!$N$8,B1171&gt;=NKC!$M$8),"x","")</f>
        <v>x</v>
      </c>
    </row>
    <row r="1172" spans="1:29" ht="15.75" customHeight="1">
      <c r="A1172" s="219" t="str">
        <f>IF(B1172&lt;&gt;"",IF(AND(B1172&gt;=_TM1,B1172&lt;=_TM2,OR(TH!L1172="1111",TH!M1172="1111")),TH!D1172,""),"")</f>
        <v/>
      </c>
      <c r="B1172" s="36">
        <f t="shared" si="51"/>
        <v>6</v>
      </c>
      <c r="C1172" s="205">
        <f t="shared" si="50"/>
        <v>41069</v>
      </c>
      <c r="D1172" s="205"/>
      <c r="E1172" s="205">
        <v>41069</v>
      </c>
      <c r="F1172" s="206" t="s">
        <v>1378</v>
      </c>
      <c r="G1172" s="581" t="s">
        <v>1377</v>
      </c>
      <c r="H1172" s="48" t="s">
        <v>1137</v>
      </c>
      <c r="I1172" s="277"/>
      <c r="J1172" s="277"/>
      <c r="K1172" s="38">
        <v>2253080</v>
      </c>
      <c r="L1172" s="208" t="s">
        <v>311</v>
      </c>
      <c r="M1172" s="208" t="s">
        <v>549</v>
      </c>
      <c r="N1172" s="55" t="str">
        <f>IF(AND('331-CT'!$E$7=TH!H1172,OR(L1172="331",M1172="331")),"x","")</f>
        <v/>
      </c>
      <c r="O1172" s="55" t="str">
        <f>IF(AND($B1172&gt;='111'!$N$11,$B1172&lt;='111'!$O$11,OR($L1172=$O$7,$M1172=$O$7)),"x","")</f>
        <v/>
      </c>
      <c r="P1172" s="55" t="str">
        <f>IF(AND($L1172=$O$7,$B1172&lt;'111'!$N$11),"x","")</f>
        <v/>
      </c>
      <c r="Q1172" s="55" t="str">
        <f>IF(AND($M1172=$O$7,$B1172&lt;'111'!$N$11),"x","")</f>
        <v/>
      </c>
      <c r="R1172" s="55" t="str">
        <f>IF(ISERROR(FIND('112'!$M$9,G1172,1)),"",IF((AND(FIND('112'!$M$9,G1172,1)&gt;=1,$B1172&gt;='112'!$N$8,$B1172&lt;='112'!$O$8,OR($L1172='112'!$I$6,$M1172='112'!$I$6))),"x",""))</f>
        <v/>
      </c>
      <c r="S1172" s="55" t="str">
        <f>IF(ISERROR(FIND('112'!$M$9,G1172,1)),"",IF((AND(LEFT(G1172,2)=LEFT('112'!$M$9,2),B1172&lt;'112'!$N$8,$L1172='112'!$I$6)),"x",""))</f>
        <v/>
      </c>
      <c r="T1172" s="55" t="str">
        <f>IF(ISERROR(FIND('112'!$M$9,G1172,1)),"",IF((AND(RIGHT(G1172,2)=RIGHT('112'!$M$9,2),B1172&lt;'112'!$N$8,$M1172='112'!$I$6)),"x",""))</f>
        <v/>
      </c>
      <c r="U1172" s="55" t="str">
        <f>IF(AND('3411-CT'!$F$9=H1172,OR(LEFT(L1172,3)=$U$7,LEFT(M1172,3)=$U$7)),"x","")</f>
        <v/>
      </c>
      <c r="V1172" s="55" t="str">
        <f>IF(OR(TH!L1172=TH!$V$7,M1172=TH!$V$7),"x","")</f>
        <v/>
      </c>
      <c r="W1172" s="55" t="str">
        <f>IF(AND(OR(L1172="131",M1172="131"),H1172='131-CT'!$E$7),"x","")</f>
        <v/>
      </c>
      <c r="X1172" s="55" t="str">
        <f>IF(AND(B1172&gt;='IN-NX'!$P$3,B1172&lt;='IN-NX'!$Q$3,'IN-NX'!$D$7=D1172,OR(LEFT(TH!L1172,2)="15",LEFT(TH!M1172,2)="15")),"x","")</f>
        <v/>
      </c>
      <c r="Y1172" s="55" t="str">
        <f>IF(AND(OR(LEFT(TH!L1172,2)="15",LEFT(TH!M1172,2)="15"),'152-CT'!$J$8=TH!F1172),"x","")</f>
        <v/>
      </c>
      <c r="Z1172" s="55" t="str">
        <f>IF(AND(OR(LEFT(TH!L1172,2)="15",LEFT(TH!M1172,2)="15"),TK!$E$7=TH!F1172),"x","")</f>
        <v/>
      </c>
      <c r="AA1172" s="55" t="str">
        <f>IF(AND(B1172&lt;=NKC!$N$8,B1172&gt;=NKC!$M$8),"x","")</f>
        <v>x</v>
      </c>
      <c r="AC1172" s="226"/>
    </row>
    <row r="1173" spans="1:29" ht="15.75" customHeight="1">
      <c r="A1173" s="219" t="str">
        <f>IF(B1173&lt;&gt;"",IF(AND(B1173&gt;=_TM1,B1173&lt;=_TM2,OR(TH!L1173="1111",TH!M1173="1111")),TH!D1173,""),"")</f>
        <v/>
      </c>
      <c r="B1173" s="36">
        <f t="shared" si="51"/>
        <v>6</v>
      </c>
      <c r="C1173" s="205">
        <f t="shared" si="50"/>
        <v>41071</v>
      </c>
      <c r="D1173" s="205"/>
      <c r="E1173" s="205">
        <v>41071</v>
      </c>
      <c r="F1173" s="206" t="s">
        <v>1379</v>
      </c>
      <c r="G1173" s="581" t="s">
        <v>1380</v>
      </c>
      <c r="H1173" s="207" t="s">
        <v>1148</v>
      </c>
      <c r="I1173" s="277">
        <v>452</v>
      </c>
      <c r="J1173" s="277">
        <v>11020</v>
      </c>
      <c r="K1173" s="38">
        <f t="shared" ref="K1173:K1236" si="52">ROUND(I1173*J1173,0)</f>
        <v>4981040</v>
      </c>
      <c r="L1173" s="208" t="s">
        <v>49</v>
      </c>
      <c r="M1173" s="208" t="s">
        <v>208</v>
      </c>
      <c r="N1173" s="55" t="str">
        <f>IF(AND('331-CT'!$E$7=TH!H1173,OR(L1173="331",M1173="331")),"x","")</f>
        <v/>
      </c>
      <c r="O1173" s="55" t="str">
        <f>IF(AND($B1173&gt;='111'!$N$11,$B1173&lt;='111'!$O$11,OR($L1173=$O$7,$M1173=$O$7)),"x","")</f>
        <v/>
      </c>
      <c r="P1173" s="55" t="str">
        <f>IF(AND($L1173=$O$7,$B1173&lt;'111'!$N$11),"x","")</f>
        <v>x</v>
      </c>
      <c r="Q1173" s="55" t="str">
        <f>IF(AND($M1173=$O$7,$B1173&lt;'111'!$N$11),"x","")</f>
        <v/>
      </c>
      <c r="R1173" s="55" t="str">
        <f>IF(ISERROR(FIND('112'!$M$9,G1173,1)),"",IF((AND(FIND('112'!$M$9,G1173,1)&gt;=1,$B1173&gt;='112'!$N$8,$B1173&lt;='112'!$O$8,OR($L1173='112'!$I$6,$M1173='112'!$I$6))),"x",""))</f>
        <v/>
      </c>
      <c r="S1173" s="55" t="str">
        <f>IF(ISERROR(FIND('112'!$M$9,G1173,1)),"",IF((AND(LEFT(G1173,2)=LEFT('112'!$M$9,2),B1173&lt;'112'!$N$8,$L1173='112'!$I$6)),"x",""))</f>
        <v/>
      </c>
      <c r="T1173" s="55" t="str">
        <f>IF(ISERROR(FIND('112'!$M$9,G1173,1)),"",IF((AND(RIGHT(G1173,2)=RIGHT('112'!$M$9,2),B1173&lt;'112'!$N$8,$M1173='112'!$I$6)),"x",""))</f>
        <v/>
      </c>
      <c r="U1173" s="55" t="str">
        <f>IF(AND('3411-CT'!$F$9=H1173,OR(LEFT(L1173,3)=$U$7,LEFT(M1173,3)=$U$7)),"x","")</f>
        <v/>
      </c>
      <c r="V1173" s="55" t="str">
        <f>IF(OR(TH!L1173=TH!$V$7,M1173=TH!$V$7),"x","")</f>
        <v/>
      </c>
      <c r="W1173" s="55" t="str">
        <f>IF(AND(OR(L1173="131",M1173="131"),H1173='131-CT'!$E$7),"x","")</f>
        <v/>
      </c>
      <c r="X1173" s="55" t="str">
        <f>IF(AND(B1173&gt;='IN-NX'!$P$3,B1173&lt;='IN-NX'!$Q$3,'IN-NX'!$D$7=D1173,OR(LEFT(TH!L1173,2)="15",LEFT(TH!M1173,2)="15")),"x","")</f>
        <v/>
      </c>
      <c r="Y1173" s="55" t="str">
        <f>IF(AND(OR(LEFT(TH!L1173,2)="15",LEFT(TH!M1173,2)="15"),'152-CT'!$J$8=TH!F1173),"x","")</f>
        <v/>
      </c>
      <c r="Z1173" s="55" t="str">
        <f>IF(AND(OR(LEFT(TH!L1173,2)="15",LEFT(TH!M1173,2)="15"),TK!$E$7=TH!F1173),"x","")</f>
        <v/>
      </c>
      <c r="AA1173" s="55" t="str">
        <f>IF(AND(B1173&lt;=NKC!$N$8,B1173&gt;=NKC!$M$8),"x","")</f>
        <v>x</v>
      </c>
    </row>
    <row r="1174" spans="1:29" ht="15.75" customHeight="1">
      <c r="A1174" s="219" t="str">
        <f>IF(B1174&lt;&gt;"",IF(AND(B1174&gt;=_TM1,B1174&lt;=_TM2,OR(TH!L1174="1111",TH!M1174="1111")),TH!D1174,""),"")</f>
        <v/>
      </c>
      <c r="B1174" s="36">
        <f t="shared" si="51"/>
        <v>6</v>
      </c>
      <c r="C1174" s="205">
        <f t="shared" si="50"/>
        <v>41071</v>
      </c>
      <c r="D1174" s="205"/>
      <c r="E1174" s="205">
        <v>41071</v>
      </c>
      <c r="F1174" s="206" t="s">
        <v>1381</v>
      </c>
      <c r="G1174" s="581" t="s">
        <v>1380</v>
      </c>
      <c r="H1174" s="207" t="s">
        <v>1148</v>
      </c>
      <c r="I1174" s="278">
        <v>180</v>
      </c>
      <c r="J1174" s="278">
        <v>7235</v>
      </c>
      <c r="K1174" s="38">
        <f t="shared" si="52"/>
        <v>1302300</v>
      </c>
      <c r="L1174" s="208" t="s">
        <v>49</v>
      </c>
      <c r="M1174" s="208" t="s">
        <v>208</v>
      </c>
      <c r="N1174" s="55" t="str">
        <f>IF(AND('331-CT'!$E$7=TH!H1174,OR(L1174="331",M1174="331")),"x","")</f>
        <v/>
      </c>
      <c r="O1174" s="55" t="str">
        <f>IF(AND($B1174&gt;='111'!$N$11,$B1174&lt;='111'!$O$11,OR($L1174=$O$7,$M1174=$O$7)),"x","")</f>
        <v/>
      </c>
      <c r="P1174" s="55" t="str">
        <f>IF(AND($L1174=$O$7,$B1174&lt;'111'!$N$11),"x","")</f>
        <v>x</v>
      </c>
      <c r="Q1174" s="55" t="str">
        <f>IF(AND($M1174=$O$7,$B1174&lt;'111'!$N$11),"x","")</f>
        <v/>
      </c>
      <c r="R1174" s="55" t="str">
        <f>IF(ISERROR(FIND('112'!$M$9,G1174,1)),"",IF((AND(FIND('112'!$M$9,G1174,1)&gt;=1,$B1174&gt;='112'!$N$8,$B1174&lt;='112'!$O$8,OR($L1174='112'!$I$6,$M1174='112'!$I$6))),"x",""))</f>
        <v/>
      </c>
      <c r="S1174" s="55" t="str">
        <f>IF(ISERROR(FIND('112'!$M$9,G1174,1)),"",IF((AND(LEFT(G1174,2)=LEFT('112'!$M$9,2),B1174&lt;'112'!$N$8,$L1174='112'!$I$6)),"x",""))</f>
        <v/>
      </c>
      <c r="T1174" s="55" t="str">
        <f>IF(ISERROR(FIND('112'!$M$9,G1174,1)),"",IF((AND(RIGHT(G1174,2)=RIGHT('112'!$M$9,2),B1174&lt;'112'!$N$8,$M1174='112'!$I$6)),"x",""))</f>
        <v/>
      </c>
      <c r="U1174" s="55" t="str">
        <f>IF(AND('3411-CT'!$F$9=H1174,OR(LEFT(L1174,3)=$U$7,LEFT(M1174,3)=$U$7)),"x","")</f>
        <v/>
      </c>
      <c r="V1174" s="55" t="str">
        <f>IF(OR(TH!L1174=TH!$V$7,M1174=TH!$V$7),"x","")</f>
        <v/>
      </c>
      <c r="W1174" s="55" t="str">
        <f>IF(AND(OR(L1174="131",M1174="131"),H1174='131-CT'!$E$7),"x","")</f>
        <v/>
      </c>
      <c r="X1174" s="55" t="str">
        <f>IF(AND(B1174&gt;='IN-NX'!$P$3,B1174&lt;='IN-NX'!$Q$3,'IN-NX'!$D$7=D1174,OR(LEFT(TH!L1174,2)="15",LEFT(TH!M1174,2)="15")),"x","")</f>
        <v/>
      </c>
      <c r="Y1174" s="55" t="str">
        <f>IF(AND(OR(LEFT(TH!L1174,2)="15",LEFT(TH!M1174,2)="15"),'152-CT'!$J$8=TH!F1174),"x","")</f>
        <v/>
      </c>
      <c r="Z1174" s="55" t="str">
        <f>IF(AND(OR(LEFT(TH!L1174,2)="15",LEFT(TH!M1174,2)="15"),TK!$E$7=TH!F1174),"x","")</f>
        <v/>
      </c>
      <c r="AA1174" s="55" t="str">
        <f>IF(AND(B1174&lt;=NKC!$N$8,B1174&gt;=NKC!$M$8),"x","")</f>
        <v>x</v>
      </c>
    </row>
    <row r="1175" spans="1:29" ht="15.75" customHeight="1">
      <c r="A1175" s="219" t="str">
        <f>IF(B1175&lt;&gt;"",IF(AND(B1175&gt;=_TM1,B1175&lt;=_TM2,OR(TH!L1175="1111",TH!M1175="1111")),TH!D1175,""),"")</f>
        <v/>
      </c>
      <c r="B1175" s="36">
        <f t="shared" si="51"/>
        <v>6</v>
      </c>
      <c r="C1175" s="205">
        <f t="shared" si="50"/>
        <v>41071</v>
      </c>
      <c r="D1175" s="205"/>
      <c r="E1175" s="205">
        <v>41071</v>
      </c>
      <c r="F1175" s="206" t="s">
        <v>1382</v>
      </c>
      <c r="G1175" s="581" t="s">
        <v>1380</v>
      </c>
      <c r="H1175" s="207" t="s">
        <v>1148</v>
      </c>
      <c r="I1175" s="278">
        <v>206</v>
      </c>
      <c r="J1175" s="278">
        <v>7235</v>
      </c>
      <c r="K1175" s="38">
        <f t="shared" si="52"/>
        <v>1490410</v>
      </c>
      <c r="L1175" s="208" t="s">
        <v>49</v>
      </c>
      <c r="M1175" s="208" t="s">
        <v>208</v>
      </c>
      <c r="N1175" s="55" t="str">
        <f>IF(AND('331-CT'!$E$7=TH!H1175,OR(L1175="331",M1175="331")),"x","")</f>
        <v/>
      </c>
      <c r="O1175" s="55" t="str">
        <f>IF(AND($B1175&gt;='111'!$N$11,$B1175&lt;='111'!$O$11,OR($L1175=$O$7,$M1175=$O$7)),"x","")</f>
        <v/>
      </c>
      <c r="P1175" s="55" t="str">
        <f>IF(AND($L1175=$O$7,$B1175&lt;'111'!$N$11),"x","")</f>
        <v>x</v>
      </c>
      <c r="Q1175" s="55" t="str">
        <f>IF(AND($M1175=$O$7,$B1175&lt;'111'!$N$11),"x","")</f>
        <v/>
      </c>
      <c r="R1175" s="55" t="str">
        <f>IF(ISERROR(FIND('112'!$M$9,G1175,1)),"",IF((AND(FIND('112'!$M$9,G1175,1)&gt;=1,$B1175&gt;='112'!$N$8,$B1175&lt;='112'!$O$8,OR($L1175='112'!$I$6,$M1175='112'!$I$6))),"x",""))</f>
        <v/>
      </c>
      <c r="S1175" s="55" t="str">
        <f>IF(ISERROR(FIND('112'!$M$9,G1175,1)),"",IF((AND(LEFT(G1175,2)=LEFT('112'!$M$9,2),B1175&lt;'112'!$N$8,$L1175='112'!$I$6)),"x",""))</f>
        <v/>
      </c>
      <c r="T1175" s="55" t="str">
        <f>IF(ISERROR(FIND('112'!$M$9,G1175,1)),"",IF((AND(RIGHT(G1175,2)=RIGHT('112'!$M$9,2),B1175&lt;'112'!$N$8,$M1175='112'!$I$6)),"x",""))</f>
        <v/>
      </c>
      <c r="U1175" s="55" t="str">
        <f>IF(AND('3411-CT'!$F$9=H1175,OR(LEFT(L1175,3)=$U$7,LEFT(M1175,3)=$U$7)),"x","")</f>
        <v/>
      </c>
      <c r="V1175" s="55" t="str">
        <f>IF(OR(TH!L1175=TH!$V$7,M1175=TH!$V$7),"x","")</f>
        <v/>
      </c>
      <c r="W1175" s="55" t="str">
        <f>IF(AND(OR(L1175="131",M1175="131"),H1175='131-CT'!$E$7),"x","")</f>
        <v/>
      </c>
      <c r="X1175" s="55" t="str">
        <f>IF(AND(B1175&gt;='IN-NX'!$P$3,B1175&lt;='IN-NX'!$Q$3,'IN-NX'!$D$7=D1175,OR(LEFT(TH!L1175,2)="15",LEFT(TH!M1175,2)="15")),"x","")</f>
        <v/>
      </c>
      <c r="Y1175" s="55" t="str">
        <f>IF(AND(OR(LEFT(TH!L1175,2)="15",LEFT(TH!M1175,2)="15"),'152-CT'!$J$8=TH!F1175),"x","")</f>
        <v/>
      </c>
      <c r="Z1175" s="55" t="str">
        <f>IF(AND(OR(LEFT(TH!L1175,2)="15",LEFT(TH!M1175,2)="15"),TK!$E$7=TH!F1175),"x","")</f>
        <v/>
      </c>
      <c r="AA1175" s="55" t="str">
        <f>IF(AND(B1175&lt;=NKC!$N$8,B1175&gt;=NKC!$M$8),"x","")</f>
        <v>x</v>
      </c>
    </row>
    <row r="1176" spans="1:29" ht="15.75" customHeight="1">
      <c r="A1176" s="219" t="str">
        <f>IF(B1176&lt;&gt;"",IF(AND(B1176&gt;=_TM1,B1176&lt;=_TM2,OR(TH!L1176="1111",TH!M1176="1111")),TH!D1176,""),"")</f>
        <v/>
      </c>
      <c r="B1176" s="36">
        <f t="shared" si="51"/>
        <v>6</v>
      </c>
      <c r="C1176" s="205">
        <f t="shared" si="50"/>
        <v>41071</v>
      </c>
      <c r="D1176" s="205"/>
      <c r="E1176" s="205">
        <v>41071</v>
      </c>
      <c r="F1176" s="206" t="s">
        <v>1185</v>
      </c>
      <c r="G1176" s="581" t="s">
        <v>1380</v>
      </c>
      <c r="H1176" s="207" t="s">
        <v>1148</v>
      </c>
      <c r="I1176" s="277"/>
      <c r="J1176" s="277"/>
      <c r="K1176" s="38">
        <v>777375</v>
      </c>
      <c r="L1176" s="208" t="s">
        <v>49</v>
      </c>
      <c r="M1176" s="208" t="s">
        <v>549</v>
      </c>
      <c r="N1176" s="55" t="str">
        <f>IF(AND('331-CT'!$E$7=TH!H1176,OR(L1176="331",M1176="331")),"x","")</f>
        <v/>
      </c>
      <c r="O1176" s="55" t="str">
        <f>IF(AND($B1176&gt;='111'!$N$11,$B1176&lt;='111'!$O$11,OR($L1176=$O$7,$M1176=$O$7)),"x","")</f>
        <v/>
      </c>
      <c r="P1176" s="55" t="str">
        <f>IF(AND($L1176=$O$7,$B1176&lt;'111'!$N$11),"x","")</f>
        <v>x</v>
      </c>
      <c r="Q1176" s="55" t="str">
        <f>IF(AND($M1176=$O$7,$B1176&lt;'111'!$N$11),"x","")</f>
        <v/>
      </c>
      <c r="R1176" s="55" t="str">
        <f>IF(ISERROR(FIND('112'!$M$9,G1176,1)),"",IF((AND(FIND('112'!$M$9,G1176,1)&gt;=1,$B1176&gt;='112'!$N$8,$B1176&lt;='112'!$O$8,OR($L1176='112'!$I$6,$M1176='112'!$I$6))),"x",""))</f>
        <v/>
      </c>
      <c r="S1176" s="55" t="str">
        <f>IF(ISERROR(FIND('112'!$M$9,G1176,1)),"",IF((AND(LEFT(G1176,2)=LEFT('112'!$M$9,2),B1176&lt;'112'!$N$8,$L1176='112'!$I$6)),"x",""))</f>
        <v/>
      </c>
      <c r="T1176" s="55" t="str">
        <f>IF(ISERROR(FIND('112'!$M$9,G1176,1)),"",IF((AND(RIGHT(G1176,2)=RIGHT('112'!$M$9,2),B1176&lt;'112'!$N$8,$M1176='112'!$I$6)),"x",""))</f>
        <v/>
      </c>
      <c r="U1176" s="55" t="str">
        <f>IF(AND('3411-CT'!$F$9=H1176,OR(LEFT(L1176,3)=$U$7,LEFT(M1176,3)=$U$7)),"x","")</f>
        <v/>
      </c>
      <c r="V1176" s="55" t="str">
        <f>IF(OR(TH!L1176=TH!$V$7,M1176=TH!$V$7),"x","")</f>
        <v/>
      </c>
      <c r="W1176" s="55" t="str">
        <f>IF(AND(OR(L1176="131",M1176="131"),H1176='131-CT'!$E$7),"x","")</f>
        <v/>
      </c>
      <c r="X1176" s="55" t="str">
        <f>IF(AND(B1176&gt;='IN-NX'!$P$3,B1176&lt;='IN-NX'!$Q$3,'IN-NX'!$D$7=D1176,OR(LEFT(TH!L1176,2)="15",LEFT(TH!M1176,2)="15")),"x","")</f>
        <v/>
      </c>
      <c r="Y1176" s="55" t="str">
        <f>IF(AND(OR(LEFT(TH!L1176,2)="15",LEFT(TH!M1176,2)="15"),'152-CT'!$J$8=TH!F1176),"x","")</f>
        <v/>
      </c>
      <c r="Z1176" s="55" t="str">
        <f>IF(AND(OR(LEFT(TH!L1176,2)="15",LEFT(TH!M1176,2)="15"),TK!$E$7=TH!F1176),"x","")</f>
        <v/>
      </c>
      <c r="AA1176" s="55" t="str">
        <f>IF(AND(B1176&lt;=NKC!$N$8,B1176&gt;=NKC!$M$8),"x","")</f>
        <v>x</v>
      </c>
      <c r="AC1176" s="226"/>
    </row>
    <row r="1177" spans="1:29" ht="15.75" customHeight="1">
      <c r="A1177" s="219" t="str">
        <f>IF(B1177&lt;&gt;"",IF(AND(B1177&gt;=_TM1,B1177&lt;=_TM2,OR(TH!L1177="1111",TH!M1177="1111")),TH!D1177,""),"")</f>
        <v/>
      </c>
      <c r="B1177" s="36">
        <f t="shared" si="51"/>
        <v>6</v>
      </c>
      <c r="C1177" s="205">
        <f t="shared" si="50"/>
        <v>41072</v>
      </c>
      <c r="D1177" s="205"/>
      <c r="E1177" s="205">
        <v>41072</v>
      </c>
      <c r="F1177" s="206" t="s">
        <v>1383</v>
      </c>
      <c r="G1177" s="581" t="s">
        <v>1384</v>
      </c>
      <c r="H1177" s="7" t="s">
        <v>416</v>
      </c>
      <c r="I1177" s="277">
        <v>2220</v>
      </c>
      <c r="J1177" s="277">
        <v>5500</v>
      </c>
      <c r="K1177" s="38">
        <f t="shared" si="52"/>
        <v>12210000</v>
      </c>
      <c r="L1177" s="208" t="s">
        <v>311</v>
      </c>
      <c r="M1177" s="208" t="s">
        <v>208</v>
      </c>
      <c r="N1177" s="55" t="str">
        <f>IF(AND('331-CT'!$E$7=TH!H1177,OR(L1177="331",M1177="331")),"x","")</f>
        <v/>
      </c>
      <c r="O1177" s="55" t="str">
        <f>IF(AND($B1177&gt;='111'!$N$11,$B1177&lt;='111'!$O$11,OR($L1177=$O$7,$M1177=$O$7)),"x","")</f>
        <v/>
      </c>
      <c r="P1177" s="55" t="str">
        <f>IF(AND($L1177=$O$7,$B1177&lt;'111'!$N$11),"x","")</f>
        <v/>
      </c>
      <c r="Q1177" s="55" t="str">
        <f>IF(AND($M1177=$O$7,$B1177&lt;'111'!$N$11),"x","")</f>
        <v/>
      </c>
      <c r="R1177" s="55" t="str">
        <f>IF(ISERROR(FIND('112'!$M$9,G1177,1)),"",IF((AND(FIND('112'!$M$9,G1177,1)&gt;=1,$B1177&gt;='112'!$N$8,$B1177&lt;='112'!$O$8,OR($L1177='112'!$I$6,$M1177='112'!$I$6))),"x",""))</f>
        <v/>
      </c>
      <c r="S1177" s="55" t="str">
        <f>IF(ISERROR(FIND('112'!$M$9,G1177,1)),"",IF((AND(LEFT(G1177,2)=LEFT('112'!$M$9,2),B1177&lt;'112'!$N$8,$L1177='112'!$I$6)),"x",""))</f>
        <v/>
      </c>
      <c r="T1177" s="55" t="str">
        <f>IF(ISERROR(FIND('112'!$M$9,G1177,1)),"",IF((AND(RIGHT(G1177,2)=RIGHT('112'!$M$9,2),B1177&lt;'112'!$N$8,$M1177='112'!$I$6)),"x",""))</f>
        <v/>
      </c>
      <c r="U1177" s="55" t="str">
        <f>IF(AND('3411-CT'!$F$9=H1177,OR(LEFT(L1177,3)=$U$7,LEFT(M1177,3)=$U$7)),"x","")</f>
        <v/>
      </c>
      <c r="V1177" s="55" t="str">
        <f>IF(OR(TH!L1177=TH!$V$7,M1177=TH!$V$7),"x","")</f>
        <v/>
      </c>
      <c r="W1177" s="55" t="str">
        <f>IF(AND(OR(L1177="131",M1177="131"),H1177='131-CT'!$E$7),"x","")</f>
        <v/>
      </c>
      <c r="X1177" s="55" t="str">
        <f>IF(AND(B1177&gt;='IN-NX'!$P$3,B1177&lt;='IN-NX'!$Q$3,'IN-NX'!$D$7=D1177,OR(LEFT(TH!L1177,2)="15",LEFT(TH!M1177,2)="15")),"x","")</f>
        <v/>
      </c>
      <c r="Y1177" s="55" t="str">
        <f>IF(AND(OR(LEFT(TH!L1177,2)="15",LEFT(TH!M1177,2)="15"),'152-CT'!$J$8=TH!F1177),"x","")</f>
        <v/>
      </c>
      <c r="Z1177" s="55" t="str">
        <f>IF(AND(OR(LEFT(TH!L1177,2)="15",LEFT(TH!M1177,2)="15"),TK!$E$7=TH!F1177),"x","")</f>
        <v/>
      </c>
      <c r="AA1177" s="55" t="str">
        <f>IF(AND(B1177&lt;=NKC!$N$8,B1177&gt;=NKC!$M$8),"x","")</f>
        <v>x</v>
      </c>
    </row>
    <row r="1178" spans="1:29" ht="15.75" customHeight="1">
      <c r="A1178" s="219" t="str">
        <f>IF(B1178&lt;&gt;"",IF(AND(B1178&gt;=_TM1,B1178&lt;=_TM2,OR(TH!L1178="1111",TH!M1178="1111")),TH!D1178,""),"")</f>
        <v/>
      </c>
      <c r="B1178" s="36">
        <f t="shared" si="51"/>
        <v>6</v>
      </c>
      <c r="C1178" s="205">
        <f t="shared" si="50"/>
        <v>41072</v>
      </c>
      <c r="D1178" s="205"/>
      <c r="E1178" s="205">
        <v>41072</v>
      </c>
      <c r="F1178" s="206" t="s">
        <v>1185</v>
      </c>
      <c r="G1178" s="581" t="s">
        <v>1384</v>
      </c>
      <c r="H1178" s="7" t="s">
        <v>416</v>
      </c>
      <c r="I1178" s="277"/>
      <c r="J1178" s="277"/>
      <c r="K1178" s="38">
        <v>1221000</v>
      </c>
      <c r="L1178" s="208" t="s">
        <v>311</v>
      </c>
      <c r="M1178" s="208" t="s">
        <v>549</v>
      </c>
      <c r="N1178" s="55" t="str">
        <f>IF(AND('331-CT'!$E$7=TH!H1178,OR(L1178="331",M1178="331")),"x","")</f>
        <v/>
      </c>
      <c r="O1178" s="55" t="str">
        <f>IF(AND($B1178&gt;='111'!$N$11,$B1178&lt;='111'!$O$11,OR($L1178=$O$7,$M1178=$O$7)),"x","")</f>
        <v/>
      </c>
      <c r="P1178" s="55" t="str">
        <f>IF(AND($L1178=$O$7,$B1178&lt;'111'!$N$11),"x","")</f>
        <v/>
      </c>
      <c r="Q1178" s="55" t="str">
        <f>IF(AND($M1178=$O$7,$B1178&lt;'111'!$N$11),"x","")</f>
        <v/>
      </c>
      <c r="R1178" s="55" t="str">
        <f>IF(ISERROR(FIND('112'!$M$9,G1178,1)),"",IF((AND(FIND('112'!$M$9,G1178,1)&gt;=1,$B1178&gt;='112'!$N$8,$B1178&lt;='112'!$O$8,OR($L1178='112'!$I$6,$M1178='112'!$I$6))),"x",""))</f>
        <v/>
      </c>
      <c r="S1178" s="55" t="str">
        <f>IF(ISERROR(FIND('112'!$M$9,G1178,1)),"",IF((AND(LEFT(G1178,2)=LEFT('112'!$M$9,2),B1178&lt;'112'!$N$8,$L1178='112'!$I$6)),"x",""))</f>
        <v/>
      </c>
      <c r="T1178" s="55" t="str">
        <f>IF(ISERROR(FIND('112'!$M$9,G1178,1)),"",IF((AND(RIGHT(G1178,2)=RIGHT('112'!$M$9,2),B1178&lt;'112'!$N$8,$M1178='112'!$I$6)),"x",""))</f>
        <v/>
      </c>
      <c r="U1178" s="55" t="str">
        <f>IF(AND('3411-CT'!$F$9=H1178,OR(LEFT(L1178,3)=$U$7,LEFT(M1178,3)=$U$7)),"x","")</f>
        <v/>
      </c>
      <c r="V1178" s="55" t="str">
        <f>IF(OR(TH!L1178=TH!$V$7,M1178=TH!$V$7),"x","")</f>
        <v/>
      </c>
      <c r="W1178" s="55" t="str">
        <f>IF(AND(OR(L1178="131",M1178="131"),H1178='131-CT'!$E$7),"x","")</f>
        <v/>
      </c>
      <c r="X1178" s="55" t="str">
        <f>IF(AND(B1178&gt;='IN-NX'!$P$3,B1178&lt;='IN-NX'!$Q$3,'IN-NX'!$D$7=D1178,OR(LEFT(TH!L1178,2)="15",LEFT(TH!M1178,2)="15")),"x","")</f>
        <v/>
      </c>
      <c r="Y1178" s="55" t="str">
        <f>IF(AND(OR(LEFT(TH!L1178,2)="15",LEFT(TH!M1178,2)="15"),'152-CT'!$J$8=TH!F1178),"x","")</f>
        <v/>
      </c>
      <c r="Z1178" s="55" t="str">
        <f>IF(AND(OR(LEFT(TH!L1178,2)="15",LEFT(TH!M1178,2)="15"),TK!$E$7=TH!F1178),"x","")</f>
        <v/>
      </c>
      <c r="AA1178" s="55" t="str">
        <f>IF(AND(B1178&lt;=NKC!$N$8,B1178&gt;=NKC!$M$8),"x","")</f>
        <v>x</v>
      </c>
      <c r="AC1178" s="226"/>
    </row>
    <row r="1179" spans="1:29" ht="15.75" customHeight="1">
      <c r="A1179" s="219" t="str">
        <f>IF(B1179&lt;&gt;"",IF(AND(B1179&gt;=_TM1,B1179&lt;=_TM2,OR(TH!L1179="1111",TH!M1179="1111")),TH!D1179,""),"")</f>
        <v/>
      </c>
      <c r="B1179" s="36">
        <f t="shared" si="51"/>
        <v>6</v>
      </c>
      <c r="C1179" s="205">
        <f t="shared" si="50"/>
        <v>41072</v>
      </c>
      <c r="D1179" s="205"/>
      <c r="E1179" s="205">
        <v>41072</v>
      </c>
      <c r="F1179" s="206" t="s">
        <v>1385</v>
      </c>
      <c r="G1179" s="581" t="s">
        <v>1386</v>
      </c>
      <c r="H1179" s="207" t="s">
        <v>1387</v>
      </c>
      <c r="I1179" s="277">
        <v>1110</v>
      </c>
      <c r="J1179" s="277">
        <v>6170</v>
      </c>
      <c r="K1179" s="38">
        <f t="shared" si="52"/>
        <v>6848700</v>
      </c>
      <c r="L1179" s="208" t="s">
        <v>49</v>
      </c>
      <c r="M1179" s="208" t="s">
        <v>208</v>
      </c>
      <c r="N1179" s="55" t="str">
        <f>IF(AND('331-CT'!$E$7=TH!H1179,OR(L1179="331",M1179="331")),"x","")</f>
        <v/>
      </c>
      <c r="O1179" s="55" t="str">
        <f>IF(AND($B1179&gt;='111'!$N$11,$B1179&lt;='111'!$O$11,OR($L1179=$O$7,$M1179=$O$7)),"x","")</f>
        <v/>
      </c>
      <c r="P1179" s="55" t="str">
        <f>IF(AND($L1179=$O$7,$B1179&lt;'111'!$N$11),"x","")</f>
        <v>x</v>
      </c>
      <c r="Q1179" s="55" t="str">
        <f>IF(AND($M1179=$O$7,$B1179&lt;'111'!$N$11),"x","")</f>
        <v/>
      </c>
      <c r="R1179" s="55" t="str">
        <f>IF(ISERROR(FIND('112'!$M$9,G1179,1)),"",IF((AND(FIND('112'!$M$9,G1179,1)&gt;=1,$B1179&gt;='112'!$N$8,$B1179&lt;='112'!$O$8,OR($L1179='112'!$I$6,$M1179='112'!$I$6))),"x",""))</f>
        <v/>
      </c>
      <c r="S1179" s="55" t="str">
        <f>IF(ISERROR(FIND('112'!$M$9,G1179,1)),"",IF((AND(LEFT(G1179,2)=LEFT('112'!$M$9,2),B1179&lt;'112'!$N$8,$L1179='112'!$I$6)),"x",""))</f>
        <v/>
      </c>
      <c r="T1179" s="55" t="str">
        <f>IF(ISERROR(FIND('112'!$M$9,G1179,1)),"",IF((AND(RIGHT(G1179,2)=RIGHT('112'!$M$9,2),B1179&lt;'112'!$N$8,$M1179='112'!$I$6)),"x",""))</f>
        <v/>
      </c>
      <c r="U1179" s="55" t="str">
        <f>IF(AND('3411-CT'!$F$9=H1179,OR(LEFT(L1179,3)=$U$7,LEFT(M1179,3)=$U$7)),"x","")</f>
        <v/>
      </c>
      <c r="V1179" s="55" t="str">
        <f>IF(OR(TH!L1179=TH!$V$7,M1179=TH!$V$7),"x","")</f>
        <v/>
      </c>
      <c r="W1179" s="55" t="str">
        <f>IF(AND(OR(L1179="131",M1179="131"),H1179='131-CT'!$E$7),"x","")</f>
        <v/>
      </c>
      <c r="X1179" s="55" t="str">
        <f>IF(AND(B1179&gt;='IN-NX'!$P$3,B1179&lt;='IN-NX'!$Q$3,'IN-NX'!$D$7=D1179,OR(LEFT(TH!L1179,2)="15",LEFT(TH!M1179,2)="15")),"x","")</f>
        <v/>
      </c>
      <c r="Y1179" s="55" t="str">
        <f>IF(AND(OR(LEFT(TH!L1179,2)="15",LEFT(TH!M1179,2)="15"),'152-CT'!$J$8=TH!F1179),"x","")</f>
        <v/>
      </c>
      <c r="Z1179" s="55" t="str">
        <f>IF(AND(OR(LEFT(TH!L1179,2)="15",LEFT(TH!M1179,2)="15"),TK!$E$7=TH!F1179),"x","")</f>
        <v/>
      </c>
      <c r="AA1179" s="55" t="str">
        <f>IF(AND(B1179&lt;=NKC!$N$8,B1179&gt;=NKC!$M$8),"x","")</f>
        <v>x</v>
      </c>
    </row>
    <row r="1180" spans="1:29" ht="15.75" customHeight="1">
      <c r="A1180" s="219" t="str">
        <f>IF(B1180&lt;&gt;"",IF(AND(B1180&gt;=_TM1,B1180&lt;=_TM2,OR(TH!L1180="1111",TH!M1180="1111")),TH!D1180,""),"")</f>
        <v/>
      </c>
      <c r="B1180" s="36">
        <f t="shared" si="51"/>
        <v>6</v>
      </c>
      <c r="C1180" s="205">
        <f t="shared" si="50"/>
        <v>41072</v>
      </c>
      <c r="D1180" s="205"/>
      <c r="E1180" s="205">
        <v>41072</v>
      </c>
      <c r="F1180" s="206" t="s">
        <v>1185</v>
      </c>
      <c r="G1180" s="581" t="s">
        <v>1386</v>
      </c>
      <c r="H1180" s="207" t="s">
        <v>1387</v>
      </c>
      <c r="I1180" s="277"/>
      <c r="J1180" s="277"/>
      <c r="K1180" s="38">
        <v>684870</v>
      </c>
      <c r="L1180" s="208" t="s">
        <v>49</v>
      </c>
      <c r="M1180" s="208" t="s">
        <v>549</v>
      </c>
      <c r="N1180" s="55" t="str">
        <f>IF(AND('331-CT'!$E$7=TH!H1180,OR(L1180="331",M1180="331")),"x","")</f>
        <v/>
      </c>
      <c r="O1180" s="55" t="str">
        <f>IF(AND($B1180&gt;='111'!$N$11,$B1180&lt;='111'!$O$11,OR($L1180=$O$7,$M1180=$O$7)),"x","")</f>
        <v/>
      </c>
      <c r="P1180" s="55" t="str">
        <f>IF(AND($L1180=$O$7,$B1180&lt;'111'!$N$11),"x","")</f>
        <v>x</v>
      </c>
      <c r="Q1180" s="55" t="str">
        <f>IF(AND($M1180=$O$7,$B1180&lt;'111'!$N$11),"x","")</f>
        <v/>
      </c>
      <c r="R1180" s="55" t="str">
        <f>IF(ISERROR(FIND('112'!$M$9,G1180,1)),"",IF((AND(FIND('112'!$M$9,G1180,1)&gt;=1,$B1180&gt;='112'!$N$8,$B1180&lt;='112'!$O$8,OR($L1180='112'!$I$6,$M1180='112'!$I$6))),"x",""))</f>
        <v/>
      </c>
      <c r="S1180" s="55" t="str">
        <f>IF(ISERROR(FIND('112'!$M$9,G1180,1)),"",IF((AND(LEFT(G1180,2)=LEFT('112'!$M$9,2),B1180&lt;'112'!$N$8,$L1180='112'!$I$6)),"x",""))</f>
        <v/>
      </c>
      <c r="T1180" s="55" t="str">
        <f>IF(ISERROR(FIND('112'!$M$9,G1180,1)),"",IF((AND(RIGHT(G1180,2)=RIGHT('112'!$M$9,2),B1180&lt;'112'!$N$8,$M1180='112'!$I$6)),"x",""))</f>
        <v/>
      </c>
      <c r="U1180" s="55" t="str">
        <f>IF(AND('3411-CT'!$F$9=H1180,OR(LEFT(L1180,3)=$U$7,LEFT(M1180,3)=$U$7)),"x","")</f>
        <v/>
      </c>
      <c r="V1180" s="55" t="str">
        <f>IF(OR(TH!L1180=TH!$V$7,M1180=TH!$V$7),"x","")</f>
        <v/>
      </c>
      <c r="W1180" s="55" t="str">
        <f>IF(AND(OR(L1180="131",M1180="131"),H1180='131-CT'!$E$7),"x","")</f>
        <v/>
      </c>
      <c r="X1180" s="55" t="str">
        <f>IF(AND(B1180&gt;='IN-NX'!$P$3,B1180&lt;='IN-NX'!$Q$3,'IN-NX'!$D$7=D1180,OR(LEFT(TH!L1180,2)="15",LEFT(TH!M1180,2)="15")),"x","")</f>
        <v/>
      </c>
      <c r="Y1180" s="55" t="str">
        <f>IF(AND(OR(LEFT(TH!L1180,2)="15",LEFT(TH!M1180,2)="15"),'152-CT'!$J$8=TH!F1180),"x","")</f>
        <v/>
      </c>
      <c r="Z1180" s="55" t="str">
        <f>IF(AND(OR(LEFT(TH!L1180,2)="15",LEFT(TH!M1180,2)="15"),TK!$E$7=TH!F1180),"x","")</f>
        <v/>
      </c>
      <c r="AA1180" s="55" t="str">
        <f>IF(AND(B1180&lt;=NKC!$N$8,B1180&gt;=NKC!$M$8),"x","")</f>
        <v>x</v>
      </c>
      <c r="AC1180" s="226"/>
    </row>
    <row r="1181" spans="1:29" ht="15.75" customHeight="1">
      <c r="A1181" s="219" t="str">
        <f>IF(B1181&lt;&gt;"",IF(AND(B1181&gt;=_TM1,B1181&lt;=_TM2,OR(TH!L1181="1111",TH!M1181="1111")),TH!D1181,""),"")</f>
        <v/>
      </c>
      <c r="B1181" s="36">
        <f t="shared" si="51"/>
        <v>6</v>
      </c>
      <c r="C1181" s="205">
        <f t="shared" si="50"/>
        <v>41083</v>
      </c>
      <c r="D1181" s="205"/>
      <c r="E1181" s="205">
        <v>41083</v>
      </c>
      <c r="F1181" s="206" t="s">
        <v>1388</v>
      </c>
      <c r="G1181" s="581" t="s">
        <v>1389</v>
      </c>
      <c r="H1181" s="207" t="s">
        <v>1387</v>
      </c>
      <c r="I1181" s="277">
        <v>1010</v>
      </c>
      <c r="J1181" s="277">
        <v>6800</v>
      </c>
      <c r="K1181" s="38">
        <f t="shared" si="52"/>
        <v>6868000</v>
      </c>
      <c r="L1181" s="208" t="s">
        <v>49</v>
      </c>
      <c r="M1181" s="208" t="s">
        <v>208</v>
      </c>
      <c r="N1181" s="55" t="str">
        <f>IF(AND('331-CT'!$E$7=TH!H1181,OR(L1181="331",M1181="331")),"x","")</f>
        <v/>
      </c>
      <c r="O1181" s="55" t="str">
        <f>IF(AND($B1181&gt;='111'!$N$11,$B1181&lt;='111'!$O$11,OR($L1181=$O$7,$M1181=$O$7)),"x","")</f>
        <v/>
      </c>
      <c r="P1181" s="55" t="str">
        <f>IF(AND($L1181=$O$7,$B1181&lt;'111'!$N$11),"x","")</f>
        <v>x</v>
      </c>
      <c r="Q1181" s="55" t="str">
        <f>IF(AND($M1181=$O$7,$B1181&lt;'111'!$N$11),"x","")</f>
        <v/>
      </c>
      <c r="R1181" s="55" t="str">
        <f>IF(ISERROR(FIND('112'!$M$9,G1181,1)),"",IF((AND(FIND('112'!$M$9,G1181,1)&gt;=1,$B1181&gt;='112'!$N$8,$B1181&lt;='112'!$O$8,OR($L1181='112'!$I$6,$M1181='112'!$I$6))),"x",""))</f>
        <v/>
      </c>
      <c r="S1181" s="55" t="str">
        <f>IF(ISERROR(FIND('112'!$M$9,G1181,1)),"",IF((AND(LEFT(G1181,2)=LEFT('112'!$M$9,2),B1181&lt;'112'!$N$8,$L1181='112'!$I$6)),"x",""))</f>
        <v/>
      </c>
      <c r="T1181" s="55" t="str">
        <f>IF(ISERROR(FIND('112'!$M$9,G1181,1)),"",IF((AND(RIGHT(G1181,2)=RIGHT('112'!$M$9,2),B1181&lt;'112'!$N$8,$M1181='112'!$I$6)),"x",""))</f>
        <v/>
      </c>
      <c r="U1181" s="55" t="str">
        <f>IF(AND('3411-CT'!$F$9=H1181,OR(LEFT(L1181,3)=$U$7,LEFT(M1181,3)=$U$7)),"x","")</f>
        <v/>
      </c>
      <c r="V1181" s="55" t="str">
        <f>IF(OR(TH!L1181=TH!$V$7,M1181=TH!$V$7),"x","")</f>
        <v/>
      </c>
      <c r="W1181" s="55" t="str">
        <f>IF(AND(OR(L1181="131",M1181="131"),H1181='131-CT'!$E$7),"x","")</f>
        <v/>
      </c>
      <c r="X1181" s="55" t="str">
        <f>IF(AND(B1181&gt;='IN-NX'!$P$3,B1181&lt;='IN-NX'!$Q$3,'IN-NX'!$D$7=D1181,OR(LEFT(TH!L1181,2)="15",LEFT(TH!M1181,2)="15")),"x","")</f>
        <v/>
      </c>
      <c r="Y1181" s="55" t="str">
        <f>IF(AND(OR(LEFT(TH!L1181,2)="15",LEFT(TH!M1181,2)="15"),'152-CT'!$J$8=TH!F1181),"x","")</f>
        <v/>
      </c>
      <c r="Z1181" s="55" t="str">
        <f>IF(AND(OR(LEFT(TH!L1181,2)="15",LEFT(TH!M1181,2)="15"),TK!$E$7=TH!F1181),"x","")</f>
        <v/>
      </c>
      <c r="AA1181" s="55" t="str">
        <f>IF(AND(B1181&lt;=NKC!$N$8,B1181&gt;=NKC!$M$8),"x","")</f>
        <v>x</v>
      </c>
    </row>
    <row r="1182" spans="1:29" ht="15.75" customHeight="1">
      <c r="A1182" s="219" t="str">
        <f>IF(B1182&lt;&gt;"",IF(AND(B1182&gt;=_TM1,B1182&lt;=_TM2,OR(TH!L1182="1111",TH!M1182="1111")),TH!D1182,""),"")</f>
        <v/>
      </c>
      <c r="B1182" s="36">
        <f t="shared" si="51"/>
        <v>6</v>
      </c>
      <c r="C1182" s="205">
        <f t="shared" si="50"/>
        <v>41083</v>
      </c>
      <c r="D1182" s="205"/>
      <c r="E1182" s="205">
        <v>41083</v>
      </c>
      <c r="F1182" s="206" t="s">
        <v>1185</v>
      </c>
      <c r="G1182" s="581" t="s">
        <v>1389</v>
      </c>
      <c r="H1182" s="207" t="s">
        <v>1387</v>
      </c>
      <c r="I1182" s="277"/>
      <c r="J1182" s="277"/>
      <c r="K1182" s="38">
        <v>686800</v>
      </c>
      <c r="L1182" s="208" t="s">
        <v>49</v>
      </c>
      <c r="M1182" s="208" t="s">
        <v>549</v>
      </c>
      <c r="N1182" s="55" t="str">
        <f>IF(AND('331-CT'!$E$7=TH!H1182,OR(L1182="331",M1182="331")),"x","")</f>
        <v/>
      </c>
      <c r="O1182" s="55" t="str">
        <f>IF(AND($B1182&gt;='111'!$N$11,$B1182&lt;='111'!$O$11,OR($L1182=$O$7,$M1182=$O$7)),"x","")</f>
        <v/>
      </c>
      <c r="P1182" s="55" t="str">
        <f>IF(AND($L1182=$O$7,$B1182&lt;'111'!$N$11),"x","")</f>
        <v>x</v>
      </c>
      <c r="Q1182" s="55" t="str">
        <f>IF(AND($M1182=$O$7,$B1182&lt;'111'!$N$11),"x","")</f>
        <v/>
      </c>
      <c r="R1182" s="55" t="str">
        <f>IF(ISERROR(FIND('112'!$M$9,G1182,1)),"",IF((AND(FIND('112'!$M$9,G1182,1)&gt;=1,$B1182&gt;='112'!$N$8,$B1182&lt;='112'!$O$8,OR($L1182='112'!$I$6,$M1182='112'!$I$6))),"x",""))</f>
        <v/>
      </c>
      <c r="S1182" s="55" t="str">
        <f>IF(ISERROR(FIND('112'!$M$9,G1182,1)),"",IF((AND(LEFT(G1182,2)=LEFT('112'!$M$9,2),B1182&lt;'112'!$N$8,$L1182='112'!$I$6)),"x",""))</f>
        <v/>
      </c>
      <c r="T1182" s="55" t="str">
        <f>IF(ISERROR(FIND('112'!$M$9,G1182,1)),"",IF((AND(RIGHT(G1182,2)=RIGHT('112'!$M$9,2),B1182&lt;'112'!$N$8,$M1182='112'!$I$6)),"x",""))</f>
        <v/>
      </c>
      <c r="U1182" s="55" t="str">
        <f>IF(AND('3411-CT'!$F$9=H1182,OR(LEFT(L1182,3)=$U$7,LEFT(M1182,3)=$U$7)),"x","")</f>
        <v/>
      </c>
      <c r="V1182" s="55" t="str">
        <f>IF(OR(TH!L1182=TH!$V$7,M1182=TH!$V$7),"x","")</f>
        <v/>
      </c>
      <c r="W1182" s="55" t="str">
        <f>IF(AND(OR(L1182="131",M1182="131"),H1182='131-CT'!$E$7),"x","")</f>
        <v/>
      </c>
      <c r="X1182" s="55" t="str">
        <f>IF(AND(B1182&gt;='IN-NX'!$P$3,B1182&lt;='IN-NX'!$Q$3,'IN-NX'!$D$7=D1182,OR(LEFT(TH!L1182,2)="15",LEFT(TH!M1182,2)="15")),"x","")</f>
        <v/>
      </c>
      <c r="Y1182" s="55" t="str">
        <f>IF(AND(OR(LEFT(TH!L1182,2)="15",LEFT(TH!M1182,2)="15"),'152-CT'!$J$8=TH!F1182),"x","")</f>
        <v/>
      </c>
      <c r="Z1182" s="55" t="str">
        <f>IF(AND(OR(LEFT(TH!L1182,2)="15",LEFT(TH!M1182,2)="15"),TK!$E$7=TH!F1182),"x","")</f>
        <v/>
      </c>
      <c r="AA1182" s="55" t="str">
        <f>IF(AND(B1182&lt;=NKC!$N$8,B1182&gt;=NKC!$M$8),"x","")</f>
        <v>x</v>
      </c>
      <c r="AC1182" s="226"/>
    </row>
    <row r="1183" spans="1:29" ht="15.75" customHeight="1">
      <c r="A1183" s="219" t="str">
        <f>IF(B1183&lt;&gt;"",IF(AND(B1183&gt;=_TM1,B1183&lt;=_TM2,OR(TH!L1183="1111",TH!M1183="1111")),TH!D1183,""),"")</f>
        <v/>
      </c>
      <c r="B1183" s="36">
        <f t="shared" si="51"/>
        <v>6</v>
      </c>
      <c r="C1183" s="205">
        <f t="shared" si="50"/>
        <v>41086</v>
      </c>
      <c r="D1183" s="205"/>
      <c r="E1183" s="205">
        <v>41086</v>
      </c>
      <c r="F1183" s="206" t="s">
        <v>1390</v>
      </c>
      <c r="G1183" s="581" t="s">
        <v>1391</v>
      </c>
      <c r="H1183" s="207" t="s">
        <v>1143</v>
      </c>
      <c r="I1183" s="277">
        <v>1884</v>
      </c>
      <c r="J1183" s="277">
        <v>8690</v>
      </c>
      <c r="K1183" s="38">
        <f t="shared" si="52"/>
        <v>16371960</v>
      </c>
      <c r="L1183" s="208" t="s">
        <v>311</v>
      </c>
      <c r="M1183" s="208" t="s">
        <v>208</v>
      </c>
      <c r="N1183" s="55" t="str">
        <f>IF(AND('331-CT'!$E$7=TH!H1183,OR(L1183="331",M1183="331")),"x","")</f>
        <v/>
      </c>
      <c r="O1183" s="55" t="str">
        <f>IF(AND($B1183&gt;='111'!$N$11,$B1183&lt;='111'!$O$11,OR($L1183=$O$7,$M1183=$O$7)),"x","")</f>
        <v/>
      </c>
      <c r="P1183" s="55" t="str">
        <f>IF(AND($L1183=$O$7,$B1183&lt;'111'!$N$11),"x","")</f>
        <v/>
      </c>
      <c r="Q1183" s="55" t="str">
        <f>IF(AND($M1183=$O$7,$B1183&lt;'111'!$N$11),"x","")</f>
        <v/>
      </c>
      <c r="R1183" s="55" t="str">
        <f>IF(ISERROR(FIND('112'!$M$9,G1183,1)),"",IF((AND(FIND('112'!$M$9,G1183,1)&gt;=1,$B1183&gt;='112'!$N$8,$B1183&lt;='112'!$O$8,OR($L1183='112'!$I$6,$M1183='112'!$I$6))),"x",""))</f>
        <v/>
      </c>
      <c r="S1183" s="55" t="str">
        <f>IF(ISERROR(FIND('112'!$M$9,G1183,1)),"",IF((AND(LEFT(G1183,2)=LEFT('112'!$M$9,2),B1183&lt;'112'!$N$8,$L1183='112'!$I$6)),"x",""))</f>
        <v/>
      </c>
      <c r="T1183" s="55" t="str">
        <f>IF(ISERROR(FIND('112'!$M$9,G1183,1)),"",IF((AND(RIGHT(G1183,2)=RIGHT('112'!$M$9,2),B1183&lt;'112'!$N$8,$M1183='112'!$I$6)),"x",""))</f>
        <v/>
      </c>
      <c r="U1183" s="55" t="str">
        <f>IF(AND('3411-CT'!$F$9=H1183,OR(LEFT(L1183,3)=$U$7,LEFT(M1183,3)=$U$7)),"x","")</f>
        <v/>
      </c>
      <c r="V1183" s="55" t="str">
        <f>IF(OR(TH!L1183=TH!$V$7,M1183=TH!$V$7),"x","")</f>
        <v/>
      </c>
      <c r="W1183" s="55" t="str">
        <f>IF(AND(OR(L1183="131",M1183="131"),H1183='131-CT'!$E$7),"x","")</f>
        <v/>
      </c>
      <c r="X1183" s="55" t="str">
        <f>IF(AND(B1183&gt;='IN-NX'!$P$3,B1183&lt;='IN-NX'!$Q$3,'IN-NX'!$D$7=D1183,OR(LEFT(TH!L1183,2)="15",LEFT(TH!M1183,2)="15")),"x","")</f>
        <v/>
      </c>
      <c r="Y1183" s="55" t="str">
        <f>IF(AND(OR(LEFT(TH!L1183,2)="15",LEFT(TH!M1183,2)="15"),'152-CT'!$J$8=TH!F1183),"x","")</f>
        <v/>
      </c>
      <c r="Z1183" s="55" t="str">
        <f>IF(AND(OR(LEFT(TH!L1183,2)="15",LEFT(TH!M1183,2)="15"),TK!$E$7=TH!F1183),"x","")</f>
        <v/>
      </c>
      <c r="AA1183" s="55" t="str">
        <f>IF(AND(B1183&lt;=NKC!$N$8,B1183&gt;=NKC!$M$8),"x","")</f>
        <v>x</v>
      </c>
    </row>
    <row r="1184" spans="1:29" ht="15.75" customHeight="1">
      <c r="A1184" s="219" t="str">
        <f>IF(B1184&lt;&gt;"",IF(AND(B1184&gt;=_TM1,B1184&lt;=_TM2,OR(TH!L1184="1111",TH!M1184="1111")),TH!D1184,""),"")</f>
        <v/>
      </c>
      <c r="B1184" s="36">
        <f t="shared" si="51"/>
        <v>6</v>
      </c>
      <c r="C1184" s="205">
        <f t="shared" si="50"/>
        <v>41086</v>
      </c>
      <c r="D1184" s="205"/>
      <c r="E1184" s="205">
        <v>41086</v>
      </c>
      <c r="F1184" s="206" t="s">
        <v>1185</v>
      </c>
      <c r="G1184" s="581" t="s">
        <v>1391</v>
      </c>
      <c r="H1184" s="207" t="s">
        <v>1143</v>
      </c>
      <c r="I1184" s="277"/>
      <c r="J1184" s="277"/>
      <c r="K1184" s="38">
        <v>1637196</v>
      </c>
      <c r="L1184" s="208" t="s">
        <v>311</v>
      </c>
      <c r="M1184" s="208" t="s">
        <v>549</v>
      </c>
      <c r="N1184" s="55" t="str">
        <f>IF(AND('331-CT'!$E$7=TH!H1184,OR(L1184="331",M1184="331")),"x","")</f>
        <v/>
      </c>
      <c r="O1184" s="55" t="str">
        <f>IF(AND($B1184&gt;='111'!$N$11,$B1184&lt;='111'!$O$11,OR($L1184=$O$7,$M1184=$O$7)),"x","")</f>
        <v/>
      </c>
      <c r="P1184" s="55" t="str">
        <f>IF(AND($L1184=$O$7,$B1184&lt;'111'!$N$11),"x","")</f>
        <v/>
      </c>
      <c r="Q1184" s="55" t="str">
        <f>IF(AND($M1184=$O$7,$B1184&lt;'111'!$N$11),"x","")</f>
        <v/>
      </c>
      <c r="R1184" s="55" t="str">
        <f>IF(ISERROR(FIND('112'!$M$9,G1184,1)),"",IF((AND(FIND('112'!$M$9,G1184,1)&gt;=1,$B1184&gt;='112'!$N$8,$B1184&lt;='112'!$O$8,OR($L1184='112'!$I$6,$M1184='112'!$I$6))),"x",""))</f>
        <v/>
      </c>
      <c r="S1184" s="55" t="str">
        <f>IF(ISERROR(FIND('112'!$M$9,G1184,1)),"",IF((AND(LEFT(G1184,2)=LEFT('112'!$M$9,2),B1184&lt;'112'!$N$8,$L1184='112'!$I$6)),"x",""))</f>
        <v/>
      </c>
      <c r="T1184" s="55" t="str">
        <f>IF(ISERROR(FIND('112'!$M$9,G1184,1)),"",IF((AND(RIGHT(G1184,2)=RIGHT('112'!$M$9,2),B1184&lt;'112'!$N$8,$M1184='112'!$I$6)),"x",""))</f>
        <v/>
      </c>
      <c r="U1184" s="55" t="str">
        <f>IF(AND('3411-CT'!$F$9=H1184,OR(LEFT(L1184,3)=$U$7,LEFT(M1184,3)=$U$7)),"x","")</f>
        <v/>
      </c>
      <c r="V1184" s="55" t="str">
        <f>IF(OR(TH!L1184=TH!$V$7,M1184=TH!$V$7),"x","")</f>
        <v/>
      </c>
      <c r="W1184" s="55" t="str">
        <f>IF(AND(OR(L1184="131",M1184="131"),H1184='131-CT'!$E$7),"x","")</f>
        <v/>
      </c>
      <c r="X1184" s="55" t="str">
        <f>IF(AND(B1184&gt;='IN-NX'!$P$3,B1184&lt;='IN-NX'!$Q$3,'IN-NX'!$D$7=D1184,OR(LEFT(TH!L1184,2)="15",LEFT(TH!M1184,2)="15")),"x","")</f>
        <v/>
      </c>
      <c r="Y1184" s="55" t="str">
        <f>IF(AND(OR(LEFT(TH!L1184,2)="15",LEFT(TH!M1184,2)="15"),'152-CT'!$J$8=TH!F1184),"x","")</f>
        <v/>
      </c>
      <c r="Z1184" s="55" t="str">
        <f>IF(AND(OR(LEFT(TH!L1184,2)="15",LEFT(TH!M1184,2)="15"),TK!$E$7=TH!F1184),"x","")</f>
        <v/>
      </c>
      <c r="AA1184" s="55" t="str">
        <f>IF(AND(B1184&lt;=NKC!$N$8,B1184&gt;=NKC!$M$8),"x","")</f>
        <v>x</v>
      </c>
      <c r="AC1184" s="226"/>
    </row>
    <row r="1185" spans="1:29" ht="15.75" customHeight="1">
      <c r="A1185" s="219" t="str">
        <f>IF(B1185&lt;&gt;"",IF(AND(B1185&gt;=_TM1,B1185&lt;=_TM2,OR(TH!L1185="1111",TH!M1185="1111")),TH!D1185,""),"")</f>
        <v/>
      </c>
      <c r="B1185" s="36">
        <f t="shared" si="51"/>
        <v>6</v>
      </c>
      <c r="C1185" s="205">
        <f t="shared" si="50"/>
        <v>41086</v>
      </c>
      <c r="D1185" s="205"/>
      <c r="E1185" s="205">
        <v>41086</v>
      </c>
      <c r="F1185" s="206" t="s">
        <v>1392</v>
      </c>
      <c r="G1185" s="581" t="s">
        <v>1393</v>
      </c>
      <c r="H1185" s="207" t="s">
        <v>1394</v>
      </c>
      <c r="I1185" s="277">
        <v>505</v>
      </c>
      <c r="J1185" s="277">
        <v>10500</v>
      </c>
      <c r="K1185" s="38">
        <f t="shared" si="52"/>
        <v>5302500</v>
      </c>
      <c r="L1185" s="208" t="s">
        <v>311</v>
      </c>
      <c r="M1185" s="208" t="s">
        <v>208</v>
      </c>
      <c r="N1185" s="55" t="str">
        <f>IF(AND('331-CT'!$E$7=TH!H1185,OR(L1185="331",M1185="331")),"x","")</f>
        <v/>
      </c>
      <c r="O1185" s="55" t="str">
        <f>IF(AND($B1185&gt;='111'!$N$11,$B1185&lt;='111'!$O$11,OR($L1185=$O$7,$M1185=$O$7)),"x","")</f>
        <v/>
      </c>
      <c r="P1185" s="55" t="str">
        <f>IF(AND($L1185=$O$7,$B1185&lt;'111'!$N$11),"x","")</f>
        <v/>
      </c>
      <c r="Q1185" s="55" t="str">
        <f>IF(AND($M1185=$O$7,$B1185&lt;'111'!$N$11),"x","")</f>
        <v/>
      </c>
      <c r="R1185" s="55" t="str">
        <f>IF(ISERROR(FIND('112'!$M$9,G1185,1)),"",IF((AND(FIND('112'!$M$9,G1185,1)&gt;=1,$B1185&gt;='112'!$N$8,$B1185&lt;='112'!$O$8,OR($L1185='112'!$I$6,$M1185='112'!$I$6))),"x",""))</f>
        <v/>
      </c>
      <c r="S1185" s="55" t="str">
        <f>IF(ISERROR(FIND('112'!$M$9,G1185,1)),"",IF((AND(LEFT(G1185,2)=LEFT('112'!$M$9,2),B1185&lt;'112'!$N$8,$L1185='112'!$I$6)),"x",""))</f>
        <v/>
      </c>
      <c r="T1185" s="55" t="str">
        <f>IF(ISERROR(FIND('112'!$M$9,G1185,1)),"",IF((AND(RIGHT(G1185,2)=RIGHT('112'!$M$9,2),B1185&lt;'112'!$N$8,$M1185='112'!$I$6)),"x",""))</f>
        <v/>
      </c>
      <c r="U1185" s="55" t="str">
        <f>IF(AND('3411-CT'!$F$9=H1185,OR(LEFT(L1185,3)=$U$7,LEFT(M1185,3)=$U$7)),"x","")</f>
        <v/>
      </c>
      <c r="V1185" s="55" t="str">
        <f>IF(OR(TH!L1185=TH!$V$7,M1185=TH!$V$7),"x","")</f>
        <v/>
      </c>
      <c r="W1185" s="55" t="str">
        <f>IF(AND(OR(L1185="131",M1185="131"),H1185='131-CT'!$E$7),"x","")</f>
        <v/>
      </c>
      <c r="X1185" s="55" t="str">
        <f>IF(AND(B1185&gt;='IN-NX'!$P$3,B1185&lt;='IN-NX'!$Q$3,'IN-NX'!$D$7=D1185,OR(LEFT(TH!L1185,2)="15",LEFT(TH!M1185,2)="15")),"x","")</f>
        <v/>
      </c>
      <c r="Y1185" s="55" t="str">
        <f>IF(AND(OR(LEFT(TH!L1185,2)="15",LEFT(TH!M1185,2)="15"),'152-CT'!$J$8=TH!F1185),"x","")</f>
        <v/>
      </c>
      <c r="Z1185" s="55" t="str">
        <f>IF(AND(OR(LEFT(TH!L1185,2)="15",LEFT(TH!M1185,2)="15"),TK!$E$7=TH!F1185),"x","")</f>
        <v/>
      </c>
      <c r="AA1185" s="55" t="str">
        <f>IF(AND(B1185&lt;=NKC!$N$8,B1185&gt;=NKC!$M$8),"x","")</f>
        <v>x</v>
      </c>
    </row>
    <row r="1186" spans="1:29" ht="15.75" customHeight="1">
      <c r="A1186" s="219" t="str">
        <f>IF(B1186&lt;&gt;"",IF(AND(B1186&gt;=_TM1,B1186&lt;=_TM2,OR(TH!L1186="1111",TH!M1186="1111")),TH!D1186,""),"")</f>
        <v/>
      </c>
      <c r="B1186" s="36">
        <f t="shared" si="51"/>
        <v>6</v>
      </c>
      <c r="C1186" s="205">
        <f t="shared" si="50"/>
        <v>41086</v>
      </c>
      <c r="D1186" s="205"/>
      <c r="E1186" s="205">
        <v>41086</v>
      </c>
      <c r="F1186" s="206" t="s">
        <v>1395</v>
      </c>
      <c r="G1186" s="581" t="s">
        <v>1393</v>
      </c>
      <c r="H1186" s="207" t="s">
        <v>1394</v>
      </c>
      <c r="I1186" s="277">
        <v>985</v>
      </c>
      <c r="J1186" s="277">
        <v>15350</v>
      </c>
      <c r="K1186" s="38">
        <f t="shared" si="52"/>
        <v>15119750</v>
      </c>
      <c r="L1186" s="208" t="s">
        <v>311</v>
      </c>
      <c r="M1186" s="208" t="s">
        <v>208</v>
      </c>
      <c r="N1186" s="55" t="str">
        <f>IF(AND('331-CT'!$E$7=TH!H1186,OR(L1186="331",M1186="331")),"x","")</f>
        <v/>
      </c>
      <c r="O1186" s="55" t="str">
        <f>IF(AND($B1186&gt;='111'!$N$11,$B1186&lt;='111'!$O$11,OR($L1186=$O$7,$M1186=$O$7)),"x","")</f>
        <v/>
      </c>
      <c r="P1186" s="55" t="str">
        <f>IF(AND($L1186=$O$7,$B1186&lt;'111'!$N$11),"x","")</f>
        <v/>
      </c>
      <c r="Q1186" s="55" t="str">
        <f>IF(AND($M1186=$O$7,$B1186&lt;'111'!$N$11),"x","")</f>
        <v/>
      </c>
      <c r="R1186" s="55" t="str">
        <f>IF(ISERROR(FIND('112'!$M$9,G1186,1)),"",IF((AND(FIND('112'!$M$9,G1186,1)&gt;=1,$B1186&gt;='112'!$N$8,$B1186&lt;='112'!$O$8,OR($L1186='112'!$I$6,$M1186='112'!$I$6))),"x",""))</f>
        <v/>
      </c>
      <c r="S1186" s="55" t="str">
        <f>IF(ISERROR(FIND('112'!$M$9,G1186,1)),"",IF((AND(LEFT(G1186,2)=LEFT('112'!$M$9,2),B1186&lt;'112'!$N$8,$L1186='112'!$I$6)),"x",""))</f>
        <v/>
      </c>
      <c r="T1186" s="55" t="str">
        <f>IF(ISERROR(FIND('112'!$M$9,G1186,1)),"",IF((AND(RIGHT(G1186,2)=RIGHT('112'!$M$9,2),B1186&lt;'112'!$N$8,$M1186='112'!$I$6)),"x",""))</f>
        <v/>
      </c>
      <c r="U1186" s="55" t="str">
        <f>IF(AND('3411-CT'!$F$9=H1186,OR(LEFT(L1186,3)=$U$7,LEFT(M1186,3)=$U$7)),"x","")</f>
        <v/>
      </c>
      <c r="V1186" s="55" t="str">
        <f>IF(OR(TH!L1186=TH!$V$7,M1186=TH!$V$7),"x","")</f>
        <v/>
      </c>
      <c r="W1186" s="55" t="str">
        <f>IF(AND(OR(L1186="131",M1186="131"),H1186='131-CT'!$E$7),"x","")</f>
        <v/>
      </c>
      <c r="X1186" s="55" t="str">
        <f>IF(AND(B1186&gt;='IN-NX'!$P$3,B1186&lt;='IN-NX'!$Q$3,'IN-NX'!$D$7=D1186,OR(LEFT(TH!L1186,2)="15",LEFT(TH!M1186,2)="15")),"x","")</f>
        <v/>
      </c>
      <c r="Y1186" s="55" t="str">
        <f>IF(AND(OR(LEFT(TH!L1186,2)="15",LEFT(TH!M1186,2)="15"),'152-CT'!$J$8=TH!F1186),"x","")</f>
        <v/>
      </c>
      <c r="Z1186" s="55" t="str">
        <f>IF(AND(OR(LEFT(TH!L1186,2)="15",LEFT(TH!M1186,2)="15"),TK!$E$7=TH!F1186),"x","")</f>
        <v/>
      </c>
      <c r="AA1186" s="55" t="str">
        <f>IF(AND(B1186&lt;=NKC!$N$8,B1186&gt;=NKC!$M$8),"x","")</f>
        <v>x</v>
      </c>
    </row>
    <row r="1187" spans="1:29" ht="15.75" customHeight="1">
      <c r="A1187" s="219" t="str">
        <f>IF(B1187&lt;&gt;"",IF(AND(B1187&gt;=_TM1,B1187&lt;=_TM2,OR(TH!L1187="1111",TH!M1187="1111")),TH!D1187,""),"")</f>
        <v/>
      </c>
      <c r="B1187" s="36">
        <f t="shared" si="51"/>
        <v>6</v>
      </c>
      <c r="C1187" s="205">
        <f t="shared" si="50"/>
        <v>41086</v>
      </c>
      <c r="D1187" s="205"/>
      <c r="E1187" s="205">
        <v>41086</v>
      </c>
      <c r="F1187" s="206" t="s">
        <v>1185</v>
      </c>
      <c r="G1187" s="581" t="s">
        <v>1393</v>
      </c>
      <c r="H1187" s="207" t="s">
        <v>1394</v>
      </c>
      <c r="I1187" s="277"/>
      <c r="J1187" s="277"/>
      <c r="K1187" s="38">
        <v>1845225</v>
      </c>
      <c r="L1187" s="208" t="s">
        <v>311</v>
      </c>
      <c r="M1187" s="208" t="s">
        <v>549</v>
      </c>
      <c r="N1187" s="55" t="str">
        <f>IF(AND('331-CT'!$E$7=TH!H1187,OR(L1187="331",M1187="331")),"x","")</f>
        <v/>
      </c>
      <c r="O1187" s="55" t="str">
        <f>IF(AND($B1187&gt;='111'!$N$11,$B1187&lt;='111'!$O$11,OR($L1187=$O$7,$M1187=$O$7)),"x","")</f>
        <v/>
      </c>
      <c r="P1187" s="55" t="str">
        <f>IF(AND($L1187=$O$7,$B1187&lt;'111'!$N$11),"x","")</f>
        <v/>
      </c>
      <c r="Q1187" s="55" t="str">
        <f>IF(AND($M1187=$O$7,$B1187&lt;'111'!$N$11),"x","")</f>
        <v/>
      </c>
      <c r="R1187" s="55" t="str">
        <f>IF(ISERROR(FIND('112'!$M$9,G1187,1)),"",IF((AND(FIND('112'!$M$9,G1187,1)&gt;=1,$B1187&gt;='112'!$N$8,$B1187&lt;='112'!$O$8,OR($L1187='112'!$I$6,$M1187='112'!$I$6))),"x",""))</f>
        <v/>
      </c>
      <c r="S1187" s="55" t="str">
        <f>IF(ISERROR(FIND('112'!$M$9,G1187,1)),"",IF((AND(LEFT(G1187,2)=LEFT('112'!$M$9,2),B1187&lt;'112'!$N$8,$L1187='112'!$I$6)),"x",""))</f>
        <v/>
      </c>
      <c r="T1187" s="55" t="str">
        <f>IF(ISERROR(FIND('112'!$M$9,G1187,1)),"",IF((AND(RIGHT(G1187,2)=RIGHT('112'!$M$9,2),B1187&lt;'112'!$N$8,$M1187='112'!$I$6)),"x",""))</f>
        <v/>
      </c>
      <c r="U1187" s="55" t="str">
        <f>IF(AND('3411-CT'!$F$9=H1187,OR(LEFT(L1187,3)=$U$7,LEFT(M1187,3)=$U$7)),"x","")</f>
        <v/>
      </c>
      <c r="V1187" s="55" t="str">
        <f>IF(OR(TH!L1187=TH!$V$7,M1187=TH!$V$7),"x","")</f>
        <v/>
      </c>
      <c r="W1187" s="55" t="str">
        <f>IF(AND(OR(L1187="131",M1187="131"),H1187='131-CT'!$E$7),"x","")</f>
        <v/>
      </c>
      <c r="X1187" s="55" t="str">
        <f>IF(AND(B1187&gt;='IN-NX'!$P$3,B1187&lt;='IN-NX'!$Q$3,'IN-NX'!$D$7=D1187,OR(LEFT(TH!L1187,2)="15",LEFT(TH!M1187,2)="15")),"x","")</f>
        <v/>
      </c>
      <c r="Y1187" s="55" t="str">
        <f>IF(AND(OR(LEFT(TH!L1187,2)="15",LEFT(TH!M1187,2)="15"),'152-CT'!$J$8=TH!F1187),"x","")</f>
        <v/>
      </c>
      <c r="Z1187" s="55" t="str">
        <f>IF(AND(OR(LEFT(TH!L1187,2)="15",LEFT(TH!M1187,2)="15"),TK!$E$7=TH!F1187),"x","")</f>
        <v/>
      </c>
      <c r="AA1187" s="55" t="str">
        <f>IF(AND(B1187&lt;=NKC!$N$8,B1187&gt;=NKC!$M$8),"x","")</f>
        <v>x</v>
      </c>
      <c r="AC1187" s="226"/>
    </row>
    <row r="1188" spans="1:29" ht="15.75" customHeight="1">
      <c r="A1188" s="219" t="str">
        <f>IF(B1188&lt;&gt;"",IF(AND(B1188&gt;=_TM1,B1188&lt;=_TM2,OR(TH!L1188="1111",TH!M1188="1111")),TH!D1188,""),"")</f>
        <v/>
      </c>
      <c r="B1188" s="36">
        <f t="shared" si="51"/>
        <v>6</v>
      </c>
      <c r="C1188" s="205">
        <f t="shared" si="50"/>
        <v>41086</v>
      </c>
      <c r="D1188" s="205"/>
      <c r="E1188" s="205">
        <v>41086</v>
      </c>
      <c r="F1188" s="206" t="s">
        <v>1183</v>
      </c>
      <c r="G1188" s="581" t="s">
        <v>1396</v>
      </c>
      <c r="H1188" s="7" t="s">
        <v>1553</v>
      </c>
      <c r="I1188" s="277"/>
      <c r="J1188" s="277"/>
      <c r="K1188" s="38">
        <v>37049112</v>
      </c>
      <c r="L1188" s="208" t="s">
        <v>311</v>
      </c>
      <c r="M1188" s="208" t="s">
        <v>208</v>
      </c>
      <c r="N1188" s="55" t="str">
        <f>IF(AND('331-CT'!$E$7=TH!H1188,OR(L1188="331",M1188="331")),"x","")</f>
        <v/>
      </c>
      <c r="O1188" s="55" t="str">
        <f>IF(AND($B1188&gt;='111'!$N$11,$B1188&lt;='111'!$O$11,OR($L1188=$O$7,$M1188=$O$7)),"x","")</f>
        <v/>
      </c>
      <c r="P1188" s="55" t="str">
        <f>IF(AND($L1188=$O$7,$B1188&lt;'111'!$N$11),"x","")</f>
        <v/>
      </c>
      <c r="Q1188" s="55" t="str">
        <f>IF(AND($M1188=$O$7,$B1188&lt;'111'!$N$11),"x","")</f>
        <v/>
      </c>
      <c r="R1188" s="55" t="str">
        <f>IF(ISERROR(FIND('112'!$M$9,G1188,1)),"",IF((AND(FIND('112'!$M$9,G1188,1)&gt;=1,$B1188&gt;='112'!$N$8,$B1188&lt;='112'!$O$8,OR($L1188='112'!$I$6,$M1188='112'!$I$6))),"x",""))</f>
        <v/>
      </c>
      <c r="S1188" s="55" t="str">
        <f>IF(ISERROR(FIND('112'!$M$9,G1188,1)),"",IF((AND(LEFT(G1188,2)=LEFT('112'!$M$9,2),B1188&lt;'112'!$N$8,$L1188='112'!$I$6)),"x",""))</f>
        <v/>
      </c>
      <c r="T1188" s="55" t="str">
        <f>IF(ISERROR(FIND('112'!$M$9,G1188,1)),"",IF((AND(RIGHT(G1188,2)=RIGHT('112'!$M$9,2),B1188&lt;'112'!$N$8,$M1188='112'!$I$6)),"x",""))</f>
        <v/>
      </c>
      <c r="U1188" s="55" t="str">
        <f>IF(AND('3411-CT'!$F$9=H1188,OR(LEFT(L1188,3)=$U$7,LEFT(M1188,3)=$U$7)),"x","")</f>
        <v/>
      </c>
      <c r="V1188" s="55" t="str">
        <f>IF(OR(TH!L1188=TH!$V$7,M1188=TH!$V$7),"x","")</f>
        <v/>
      </c>
      <c r="W1188" s="55" t="str">
        <f>IF(AND(OR(L1188="131",M1188="131"),H1188='131-CT'!$E$7),"x","")</f>
        <v/>
      </c>
      <c r="X1188" s="55" t="str">
        <f>IF(AND(B1188&gt;='IN-NX'!$P$3,B1188&lt;='IN-NX'!$Q$3,'IN-NX'!$D$7=D1188,OR(LEFT(TH!L1188,2)="15",LEFT(TH!M1188,2)="15")),"x","")</f>
        <v/>
      </c>
      <c r="Y1188" s="55" t="str">
        <f>IF(AND(OR(LEFT(TH!L1188,2)="15",LEFT(TH!M1188,2)="15"),'152-CT'!$J$8=TH!F1188),"x","")</f>
        <v/>
      </c>
      <c r="Z1188" s="55" t="str">
        <f>IF(AND(OR(LEFT(TH!L1188,2)="15",LEFT(TH!M1188,2)="15"),TK!$E$7=TH!F1188),"x","")</f>
        <v/>
      </c>
      <c r="AA1188" s="55" t="str">
        <f>IF(AND(B1188&lt;=NKC!$N$8,B1188&gt;=NKC!$M$8),"x","")</f>
        <v>x</v>
      </c>
    </row>
    <row r="1189" spans="1:29" ht="15.75" customHeight="1">
      <c r="A1189" s="219" t="str">
        <f>IF(B1189&lt;&gt;"",IF(AND(B1189&gt;=_TM1,B1189&lt;=_TM2,OR(TH!L1189="1111",TH!M1189="1111")),TH!D1189,""),"")</f>
        <v/>
      </c>
      <c r="B1189" s="36">
        <f t="shared" si="51"/>
        <v>6</v>
      </c>
      <c r="C1189" s="205">
        <f t="shared" si="50"/>
        <v>41086</v>
      </c>
      <c r="D1189" s="205"/>
      <c r="E1189" s="205">
        <v>41086</v>
      </c>
      <c r="F1189" s="206" t="s">
        <v>1185</v>
      </c>
      <c r="G1189" s="581" t="s">
        <v>1396</v>
      </c>
      <c r="H1189" s="7" t="s">
        <v>1553</v>
      </c>
      <c r="I1189" s="277"/>
      <c r="J1189" s="277"/>
      <c r="K1189" s="38">
        <v>3704911</v>
      </c>
      <c r="L1189" s="208" t="s">
        <v>311</v>
      </c>
      <c r="M1189" s="208" t="s">
        <v>549</v>
      </c>
      <c r="N1189" s="55" t="str">
        <f>IF(AND('331-CT'!$E$7=TH!H1189,OR(L1189="331",M1189="331")),"x","")</f>
        <v/>
      </c>
      <c r="O1189" s="55" t="str">
        <f>IF(AND($B1189&gt;='111'!$N$11,$B1189&lt;='111'!$O$11,OR($L1189=$O$7,$M1189=$O$7)),"x","")</f>
        <v/>
      </c>
      <c r="P1189" s="55" t="str">
        <f>IF(AND($L1189=$O$7,$B1189&lt;'111'!$N$11),"x","")</f>
        <v/>
      </c>
      <c r="Q1189" s="55" t="str">
        <f>IF(AND($M1189=$O$7,$B1189&lt;'111'!$N$11),"x","")</f>
        <v/>
      </c>
      <c r="R1189" s="55" t="str">
        <f>IF(ISERROR(FIND('112'!$M$9,G1189,1)),"",IF((AND(FIND('112'!$M$9,G1189,1)&gt;=1,$B1189&gt;='112'!$N$8,$B1189&lt;='112'!$O$8,OR($L1189='112'!$I$6,$M1189='112'!$I$6))),"x",""))</f>
        <v/>
      </c>
      <c r="S1189" s="55" t="str">
        <f>IF(ISERROR(FIND('112'!$M$9,G1189,1)),"",IF((AND(LEFT(G1189,2)=LEFT('112'!$M$9,2),B1189&lt;'112'!$N$8,$L1189='112'!$I$6)),"x",""))</f>
        <v/>
      </c>
      <c r="T1189" s="55" t="str">
        <f>IF(ISERROR(FIND('112'!$M$9,G1189,1)),"",IF((AND(RIGHT(G1189,2)=RIGHT('112'!$M$9,2),B1189&lt;'112'!$N$8,$M1189='112'!$I$6)),"x",""))</f>
        <v/>
      </c>
      <c r="U1189" s="55" t="str">
        <f>IF(AND('3411-CT'!$F$9=H1189,OR(LEFT(L1189,3)=$U$7,LEFT(M1189,3)=$U$7)),"x","")</f>
        <v/>
      </c>
      <c r="V1189" s="55" t="str">
        <f>IF(OR(TH!L1189=TH!$V$7,M1189=TH!$V$7),"x","")</f>
        <v/>
      </c>
      <c r="W1189" s="55" t="str">
        <f>IF(AND(OR(L1189="131",M1189="131"),H1189='131-CT'!$E$7),"x","")</f>
        <v/>
      </c>
      <c r="X1189" s="55" t="str">
        <f>IF(AND(B1189&gt;='IN-NX'!$P$3,B1189&lt;='IN-NX'!$Q$3,'IN-NX'!$D$7=D1189,OR(LEFT(TH!L1189,2)="15",LEFT(TH!M1189,2)="15")),"x","")</f>
        <v/>
      </c>
      <c r="Y1189" s="55" t="str">
        <f>IF(AND(OR(LEFT(TH!L1189,2)="15",LEFT(TH!M1189,2)="15"),'152-CT'!$J$8=TH!F1189),"x","")</f>
        <v/>
      </c>
      <c r="Z1189" s="55" t="str">
        <f>IF(AND(OR(LEFT(TH!L1189,2)="15",LEFT(TH!M1189,2)="15"),TK!$E$7=TH!F1189),"x","")</f>
        <v/>
      </c>
      <c r="AA1189" s="55" t="str">
        <f>IF(AND(B1189&lt;=NKC!$N$8,B1189&gt;=NKC!$M$8),"x","")</f>
        <v>x</v>
      </c>
      <c r="AC1189" s="226"/>
    </row>
    <row r="1190" spans="1:29" ht="15.75" customHeight="1">
      <c r="A1190" s="219" t="str">
        <f>IF(B1190&lt;&gt;"",IF(AND(B1190&gt;=_TM1,B1190&lt;=_TM2,OR(TH!L1190="1111",TH!M1190="1111")),TH!D1190,""),"")</f>
        <v/>
      </c>
      <c r="B1190" s="36">
        <f t="shared" si="51"/>
        <v>6</v>
      </c>
      <c r="C1190" s="205">
        <f t="shared" si="50"/>
        <v>41090</v>
      </c>
      <c r="D1190" s="205"/>
      <c r="E1190" s="205">
        <v>41090</v>
      </c>
      <c r="F1190" s="206" t="s">
        <v>1183</v>
      </c>
      <c r="G1190" s="581" t="s">
        <v>1397</v>
      </c>
      <c r="H1190" s="7" t="s">
        <v>1553</v>
      </c>
      <c r="I1190" s="277"/>
      <c r="J1190" s="277"/>
      <c r="K1190" s="38">
        <v>68562790</v>
      </c>
      <c r="L1190" s="208" t="s">
        <v>311</v>
      </c>
      <c r="M1190" s="208" t="s">
        <v>208</v>
      </c>
      <c r="N1190" s="55" t="str">
        <f>IF(AND('331-CT'!$E$7=TH!H1190,OR(L1190="331",M1190="331")),"x","")</f>
        <v/>
      </c>
      <c r="O1190" s="55" t="str">
        <f>IF(AND($B1190&gt;='111'!$N$11,$B1190&lt;='111'!$O$11,OR($L1190=$O$7,$M1190=$O$7)),"x","")</f>
        <v/>
      </c>
      <c r="P1190" s="55" t="str">
        <f>IF(AND($L1190=$O$7,$B1190&lt;'111'!$N$11),"x","")</f>
        <v/>
      </c>
      <c r="Q1190" s="55" t="str">
        <f>IF(AND($M1190=$O$7,$B1190&lt;'111'!$N$11),"x","")</f>
        <v/>
      </c>
      <c r="R1190" s="55" t="str">
        <f>IF(ISERROR(FIND('112'!$M$9,G1190,1)),"",IF((AND(FIND('112'!$M$9,G1190,1)&gt;=1,$B1190&gt;='112'!$N$8,$B1190&lt;='112'!$O$8,OR($L1190='112'!$I$6,$M1190='112'!$I$6))),"x",""))</f>
        <v/>
      </c>
      <c r="S1190" s="55" t="str">
        <f>IF(ISERROR(FIND('112'!$M$9,G1190,1)),"",IF((AND(LEFT(G1190,2)=LEFT('112'!$M$9,2),B1190&lt;'112'!$N$8,$L1190='112'!$I$6)),"x",""))</f>
        <v/>
      </c>
      <c r="T1190" s="55" t="str">
        <f>IF(ISERROR(FIND('112'!$M$9,G1190,1)),"",IF((AND(RIGHT(G1190,2)=RIGHT('112'!$M$9,2),B1190&lt;'112'!$N$8,$M1190='112'!$I$6)),"x",""))</f>
        <v/>
      </c>
      <c r="U1190" s="55" t="str">
        <f>IF(AND('3411-CT'!$F$9=H1190,OR(LEFT(L1190,3)=$U$7,LEFT(M1190,3)=$U$7)),"x","")</f>
        <v/>
      </c>
      <c r="V1190" s="55" t="str">
        <f>IF(OR(TH!L1190=TH!$V$7,M1190=TH!$V$7),"x","")</f>
        <v/>
      </c>
      <c r="W1190" s="55" t="str">
        <f>IF(AND(OR(L1190="131",M1190="131"),H1190='131-CT'!$E$7),"x","")</f>
        <v/>
      </c>
      <c r="X1190" s="55" t="str">
        <f>IF(AND(B1190&gt;='IN-NX'!$P$3,B1190&lt;='IN-NX'!$Q$3,'IN-NX'!$D$7=D1190,OR(LEFT(TH!L1190,2)="15",LEFT(TH!M1190,2)="15")),"x","")</f>
        <v/>
      </c>
      <c r="Y1190" s="55" t="str">
        <f>IF(AND(OR(LEFT(TH!L1190,2)="15",LEFT(TH!M1190,2)="15"),'152-CT'!$J$8=TH!F1190),"x","")</f>
        <v/>
      </c>
      <c r="Z1190" s="55" t="str">
        <f>IF(AND(OR(LEFT(TH!L1190,2)="15",LEFT(TH!M1190,2)="15"),TK!$E$7=TH!F1190),"x","")</f>
        <v/>
      </c>
      <c r="AA1190" s="55" t="str">
        <f>IF(AND(B1190&lt;=NKC!$N$8,B1190&gt;=NKC!$M$8),"x","")</f>
        <v>x</v>
      </c>
    </row>
    <row r="1191" spans="1:29" ht="15.75" customHeight="1">
      <c r="A1191" s="219" t="str">
        <f>IF(B1191&lt;&gt;"",IF(AND(B1191&gt;=_TM1,B1191&lt;=_TM2,OR(TH!L1191="1111",TH!M1191="1111")),TH!D1191,""),"")</f>
        <v/>
      </c>
      <c r="B1191" s="36">
        <f t="shared" si="51"/>
        <v>6</v>
      </c>
      <c r="C1191" s="205">
        <f t="shared" si="50"/>
        <v>41090</v>
      </c>
      <c r="D1191" s="205"/>
      <c r="E1191" s="205">
        <v>41090</v>
      </c>
      <c r="F1191" s="206" t="s">
        <v>1185</v>
      </c>
      <c r="G1191" s="581" t="s">
        <v>1397</v>
      </c>
      <c r="H1191" s="7" t="s">
        <v>1553</v>
      </c>
      <c r="I1191" s="277"/>
      <c r="J1191" s="277"/>
      <c r="K1191" s="38">
        <v>6856279</v>
      </c>
      <c r="L1191" s="208" t="s">
        <v>311</v>
      </c>
      <c r="M1191" s="208" t="s">
        <v>549</v>
      </c>
      <c r="N1191" s="55" t="str">
        <f>IF(AND('331-CT'!$E$7=TH!H1191,OR(L1191="331",M1191="331")),"x","")</f>
        <v/>
      </c>
      <c r="O1191" s="55" t="str">
        <f>IF(AND($B1191&gt;='111'!$N$11,$B1191&lt;='111'!$O$11,OR($L1191=$O$7,$M1191=$O$7)),"x","")</f>
        <v/>
      </c>
      <c r="P1191" s="55" t="str">
        <f>IF(AND($L1191=$O$7,$B1191&lt;'111'!$N$11),"x","")</f>
        <v/>
      </c>
      <c r="Q1191" s="55" t="str">
        <f>IF(AND($M1191=$O$7,$B1191&lt;'111'!$N$11),"x","")</f>
        <v/>
      </c>
      <c r="R1191" s="55" t="str">
        <f>IF(ISERROR(FIND('112'!$M$9,G1191,1)),"",IF((AND(FIND('112'!$M$9,G1191,1)&gt;=1,$B1191&gt;='112'!$N$8,$B1191&lt;='112'!$O$8,OR($L1191='112'!$I$6,$M1191='112'!$I$6))),"x",""))</f>
        <v/>
      </c>
      <c r="S1191" s="55" t="str">
        <f>IF(ISERROR(FIND('112'!$M$9,G1191,1)),"",IF((AND(LEFT(G1191,2)=LEFT('112'!$M$9,2),B1191&lt;'112'!$N$8,$L1191='112'!$I$6)),"x",""))</f>
        <v/>
      </c>
      <c r="T1191" s="55" t="str">
        <f>IF(ISERROR(FIND('112'!$M$9,G1191,1)),"",IF((AND(RIGHT(G1191,2)=RIGHT('112'!$M$9,2),B1191&lt;'112'!$N$8,$M1191='112'!$I$6)),"x",""))</f>
        <v/>
      </c>
      <c r="U1191" s="55" t="str">
        <f>IF(AND('3411-CT'!$F$9=H1191,OR(LEFT(L1191,3)=$U$7,LEFT(M1191,3)=$U$7)),"x","")</f>
        <v/>
      </c>
      <c r="V1191" s="55" t="str">
        <f>IF(OR(TH!L1191=TH!$V$7,M1191=TH!$V$7),"x","")</f>
        <v/>
      </c>
      <c r="W1191" s="55" t="str">
        <f>IF(AND(OR(L1191="131",M1191="131"),H1191='131-CT'!$E$7),"x","")</f>
        <v/>
      </c>
      <c r="X1191" s="55" t="str">
        <f>IF(AND(B1191&gt;='IN-NX'!$P$3,B1191&lt;='IN-NX'!$Q$3,'IN-NX'!$D$7=D1191,OR(LEFT(TH!L1191,2)="15",LEFT(TH!M1191,2)="15")),"x","")</f>
        <v/>
      </c>
      <c r="Y1191" s="55" t="str">
        <f>IF(AND(OR(LEFT(TH!L1191,2)="15",LEFT(TH!M1191,2)="15"),'152-CT'!$J$8=TH!F1191),"x","")</f>
        <v/>
      </c>
      <c r="Z1191" s="55" t="str">
        <f>IF(AND(OR(LEFT(TH!L1191,2)="15",LEFT(TH!M1191,2)="15"),TK!$E$7=TH!F1191),"x","")</f>
        <v/>
      </c>
      <c r="AA1191" s="55" t="str">
        <f>IF(AND(B1191&lt;=NKC!$N$8,B1191&gt;=NKC!$M$8),"x","")</f>
        <v>x</v>
      </c>
      <c r="AC1191" s="226"/>
    </row>
    <row r="1192" spans="1:29" s="226" customFormat="1" ht="15.75" customHeight="1">
      <c r="A1192" s="219" t="str">
        <f>IF(B1192&lt;&gt;"",IF(AND(B1192&gt;=_TM1,B1192&lt;=_TM2,OR(TH!L1192="1111",TH!M1192="1111")),TH!D1192,""),"")</f>
        <v/>
      </c>
      <c r="B1192" s="36">
        <f t="shared" si="39"/>
        <v>7</v>
      </c>
      <c r="C1192" s="205">
        <f t="shared" si="50"/>
        <v>41092</v>
      </c>
      <c r="D1192" s="205"/>
      <c r="E1192" s="205">
        <v>41092</v>
      </c>
      <c r="F1192" s="206" t="s">
        <v>1398</v>
      </c>
      <c r="G1192" s="581" t="s">
        <v>1399</v>
      </c>
      <c r="H1192" s="225" t="s">
        <v>1138</v>
      </c>
      <c r="I1192" s="277">
        <v>1000</v>
      </c>
      <c r="J1192" s="277">
        <v>6400</v>
      </c>
      <c r="K1192" s="38">
        <f t="shared" si="52"/>
        <v>6400000</v>
      </c>
      <c r="L1192" s="208" t="s">
        <v>311</v>
      </c>
      <c r="M1192" s="208" t="s">
        <v>208</v>
      </c>
      <c r="N1192" s="55" t="str">
        <f>IF(AND('331-CT'!$E$7=TH!H1192,OR(L1192="331",M1192="331")),"x","")</f>
        <v/>
      </c>
      <c r="O1192" s="55" t="str">
        <f>IF(AND($B1192&gt;='111'!$N$11,$B1192&lt;='111'!$O$11,OR($L1192=$O$7,$M1192=$O$7)),"x","")</f>
        <v/>
      </c>
      <c r="P1192" s="55" t="str">
        <f>IF(AND($L1192=$O$7,$B1192&lt;'111'!$N$11),"x","")</f>
        <v/>
      </c>
      <c r="Q1192" s="55" t="str">
        <f>IF(AND($M1192=$O$7,$B1192&lt;'111'!$N$11),"x","")</f>
        <v/>
      </c>
      <c r="R1192" s="55" t="str">
        <f>IF(ISERROR(FIND('112'!$M$9,G1192,1)),"",IF((AND(FIND('112'!$M$9,G1192,1)&gt;=1,$B1192&gt;='112'!$N$8,$B1192&lt;='112'!$O$8,OR($L1192='112'!$I$6,$M1192='112'!$I$6))),"x",""))</f>
        <v/>
      </c>
      <c r="S1192" s="55" t="str">
        <f>IF(ISERROR(FIND('112'!$M$9,G1192,1)),"",IF((AND(LEFT(G1192,2)=LEFT('112'!$M$9,2),B1192&lt;'112'!$N$8,$L1192='112'!$I$6)),"x",""))</f>
        <v/>
      </c>
      <c r="T1192" s="55" t="str">
        <f>IF(ISERROR(FIND('112'!$M$9,G1192,1)),"",IF((AND(RIGHT(G1192,2)=RIGHT('112'!$M$9,2),B1192&lt;'112'!$N$8,$M1192='112'!$I$6)),"x",""))</f>
        <v/>
      </c>
      <c r="U1192" s="55" t="str">
        <f>IF(AND('3411-CT'!$F$9=H1192,OR(LEFT(L1192,3)=$U$7,LEFT(M1192,3)=$U$7)),"x","")</f>
        <v/>
      </c>
      <c r="V1192" s="55" t="str">
        <f>IF(OR(TH!L1192=TH!$V$7,M1192=TH!$V$7),"x","")</f>
        <v/>
      </c>
      <c r="W1192" s="55" t="str">
        <f>IF(AND(OR(L1192="131",M1192="131"),H1192='131-CT'!$E$7),"x","")</f>
        <v/>
      </c>
      <c r="X1192" s="55" t="str">
        <f>IF(AND(B1192&gt;='IN-NX'!$P$3,B1192&lt;='IN-NX'!$Q$3,'IN-NX'!$D$7=D1192,OR(LEFT(TH!L1192,2)="15",LEFT(TH!M1192,2)="15")),"x","")</f>
        <v/>
      </c>
      <c r="Y1192" s="55" t="str">
        <f>IF(AND(OR(LEFT(TH!L1192,2)="15",LEFT(TH!M1192,2)="15"),'152-CT'!$J$8=TH!F1192),"x","")</f>
        <v/>
      </c>
      <c r="Z1192" s="55" t="str">
        <f>IF(AND(OR(LEFT(TH!L1192,2)="15",LEFT(TH!M1192,2)="15"),TK!$E$7=TH!F1192),"x","")</f>
        <v/>
      </c>
      <c r="AA1192" s="55" t="str">
        <f>IF(AND(B1192&lt;=NKC!$N$8,B1192&gt;=NKC!$M$8),"x","")</f>
        <v/>
      </c>
    </row>
    <row r="1193" spans="1:29" s="226" customFormat="1" ht="15.75" customHeight="1">
      <c r="A1193" s="219" t="str">
        <f>IF(B1193&lt;&gt;"",IF(AND(B1193&gt;=_TM1,B1193&lt;=_TM2,OR(TH!L1193="1111",TH!M1193="1111")),TH!D1193,""),"")</f>
        <v/>
      </c>
      <c r="B1193" s="36">
        <f t="shared" si="39"/>
        <v>7</v>
      </c>
      <c r="C1193" s="205">
        <f t="shared" si="50"/>
        <v>41092</v>
      </c>
      <c r="D1193" s="205"/>
      <c r="E1193" s="205">
        <v>41092</v>
      </c>
      <c r="F1193" s="206" t="s">
        <v>1185</v>
      </c>
      <c r="G1193" s="581" t="s">
        <v>1399</v>
      </c>
      <c r="H1193" s="225" t="s">
        <v>1138</v>
      </c>
      <c r="I1193" s="278"/>
      <c r="J1193" s="278"/>
      <c r="K1193" s="38">
        <v>640000</v>
      </c>
      <c r="L1193" s="208" t="s">
        <v>311</v>
      </c>
      <c r="M1193" s="208" t="s">
        <v>549</v>
      </c>
      <c r="N1193" s="55" t="str">
        <f>IF(AND('331-CT'!$E$7=TH!H1193,OR(L1193="331",M1193="331")),"x","")</f>
        <v/>
      </c>
      <c r="O1193" s="55" t="str">
        <f>IF(AND($B1193&gt;='111'!$N$11,$B1193&lt;='111'!$O$11,OR($L1193=$O$7,$M1193=$O$7)),"x","")</f>
        <v/>
      </c>
      <c r="P1193" s="55" t="str">
        <f>IF(AND($L1193=$O$7,$B1193&lt;'111'!$N$11),"x","")</f>
        <v/>
      </c>
      <c r="Q1193" s="55" t="str">
        <f>IF(AND($M1193=$O$7,$B1193&lt;'111'!$N$11),"x","")</f>
        <v/>
      </c>
      <c r="R1193" s="55" t="str">
        <f>IF(ISERROR(FIND('112'!$M$9,G1193,1)),"",IF((AND(FIND('112'!$M$9,G1193,1)&gt;=1,$B1193&gt;='112'!$N$8,$B1193&lt;='112'!$O$8,OR($L1193='112'!$I$6,$M1193='112'!$I$6))),"x",""))</f>
        <v/>
      </c>
      <c r="S1193" s="55" t="str">
        <f>IF(ISERROR(FIND('112'!$M$9,G1193,1)),"",IF((AND(LEFT(G1193,2)=LEFT('112'!$M$9,2),B1193&lt;'112'!$N$8,$L1193='112'!$I$6)),"x",""))</f>
        <v/>
      </c>
      <c r="T1193" s="55" t="str">
        <f>IF(ISERROR(FIND('112'!$M$9,G1193,1)),"",IF((AND(RIGHT(G1193,2)=RIGHT('112'!$M$9,2),B1193&lt;'112'!$N$8,$M1193='112'!$I$6)),"x",""))</f>
        <v/>
      </c>
      <c r="U1193" s="55" t="str">
        <f>IF(AND('3411-CT'!$F$9=H1193,OR(LEFT(L1193,3)=$U$7,LEFT(M1193,3)=$U$7)),"x","")</f>
        <v/>
      </c>
      <c r="V1193" s="55" t="str">
        <f>IF(OR(TH!L1193=TH!$V$7,M1193=TH!$V$7),"x","")</f>
        <v/>
      </c>
      <c r="W1193" s="55" t="str">
        <f>IF(AND(OR(L1193="131",M1193="131"),H1193='131-CT'!$E$7),"x","")</f>
        <v/>
      </c>
      <c r="X1193" s="55" t="str">
        <f>IF(AND(B1193&gt;='IN-NX'!$P$3,B1193&lt;='IN-NX'!$Q$3,'IN-NX'!$D$7=D1193,OR(LEFT(TH!L1193,2)="15",LEFT(TH!M1193,2)="15")),"x","")</f>
        <v/>
      </c>
      <c r="Y1193" s="55" t="str">
        <f>IF(AND(OR(LEFT(TH!L1193,2)="15",LEFT(TH!M1193,2)="15"),'152-CT'!$J$8=TH!F1193),"x","")</f>
        <v/>
      </c>
      <c r="Z1193" s="55" t="str">
        <f>IF(AND(OR(LEFT(TH!L1193,2)="15",LEFT(TH!M1193,2)="15"),TK!$E$7=TH!F1193),"x","")</f>
        <v/>
      </c>
      <c r="AA1193" s="55" t="str">
        <f>IF(AND(B1193&lt;=NKC!$N$8,B1193&gt;=NKC!$M$8),"x","")</f>
        <v/>
      </c>
    </row>
    <row r="1194" spans="1:29" s="226" customFormat="1" ht="15.75" customHeight="1">
      <c r="A1194" s="219" t="str">
        <f>IF(B1194&lt;&gt;"",IF(AND(B1194&gt;=_TM1,B1194&lt;=_TM2,OR(TH!L1194="1111",TH!M1194="1111")),TH!D1194,""),"")</f>
        <v/>
      </c>
      <c r="B1194" s="36">
        <f t="shared" si="39"/>
        <v>7</v>
      </c>
      <c r="C1194" s="205">
        <f t="shared" si="50"/>
        <v>41093</v>
      </c>
      <c r="D1194" s="205"/>
      <c r="E1194" s="205">
        <v>41093</v>
      </c>
      <c r="F1194" s="206" t="s">
        <v>1183</v>
      </c>
      <c r="G1194" s="581" t="s">
        <v>1400</v>
      </c>
      <c r="H1194" s="45" t="s">
        <v>1142</v>
      </c>
      <c r="I1194" s="278">
        <v>700</v>
      </c>
      <c r="J1194" s="278">
        <v>6500</v>
      </c>
      <c r="K1194" s="38">
        <f t="shared" si="52"/>
        <v>4550000</v>
      </c>
      <c r="L1194" s="208" t="s">
        <v>311</v>
      </c>
      <c r="M1194" s="208" t="s">
        <v>208</v>
      </c>
      <c r="N1194" s="55" t="str">
        <f>IF(AND('331-CT'!$E$7=TH!H1194,OR(L1194="331",M1194="331")),"x","")</f>
        <v/>
      </c>
      <c r="O1194" s="55" t="str">
        <f>IF(AND($B1194&gt;='111'!$N$11,$B1194&lt;='111'!$O$11,OR($L1194=$O$7,$M1194=$O$7)),"x","")</f>
        <v/>
      </c>
      <c r="P1194" s="55" t="str">
        <f>IF(AND($L1194=$O$7,$B1194&lt;'111'!$N$11),"x","")</f>
        <v/>
      </c>
      <c r="Q1194" s="55" t="str">
        <f>IF(AND($M1194=$O$7,$B1194&lt;'111'!$N$11),"x","")</f>
        <v/>
      </c>
      <c r="R1194" s="55" t="str">
        <f>IF(ISERROR(FIND('112'!$M$9,G1194,1)),"",IF((AND(FIND('112'!$M$9,G1194,1)&gt;=1,$B1194&gt;='112'!$N$8,$B1194&lt;='112'!$O$8,OR($L1194='112'!$I$6,$M1194='112'!$I$6))),"x",""))</f>
        <v/>
      </c>
      <c r="S1194" s="55" t="str">
        <f>IF(ISERROR(FIND('112'!$M$9,G1194,1)),"",IF((AND(LEFT(G1194,2)=LEFT('112'!$M$9,2),B1194&lt;'112'!$N$8,$L1194='112'!$I$6)),"x",""))</f>
        <v/>
      </c>
      <c r="T1194" s="55" t="str">
        <f>IF(ISERROR(FIND('112'!$M$9,G1194,1)),"",IF((AND(RIGHT(G1194,2)=RIGHT('112'!$M$9,2),B1194&lt;'112'!$N$8,$M1194='112'!$I$6)),"x",""))</f>
        <v/>
      </c>
      <c r="U1194" s="55" t="str">
        <f>IF(AND('3411-CT'!$F$9=H1194,OR(LEFT(L1194,3)=$U$7,LEFT(M1194,3)=$U$7)),"x","")</f>
        <v/>
      </c>
      <c r="V1194" s="55" t="str">
        <f>IF(OR(TH!L1194=TH!$V$7,M1194=TH!$V$7),"x","")</f>
        <v/>
      </c>
      <c r="W1194" s="55" t="str">
        <f>IF(AND(OR(L1194="131",M1194="131"),H1194='131-CT'!$E$7),"x","")</f>
        <v/>
      </c>
      <c r="X1194" s="55" t="str">
        <f>IF(AND(B1194&gt;='IN-NX'!$P$3,B1194&lt;='IN-NX'!$Q$3,'IN-NX'!$D$7=D1194,OR(LEFT(TH!L1194,2)="15",LEFT(TH!M1194,2)="15")),"x","")</f>
        <v/>
      </c>
      <c r="Y1194" s="55" t="str">
        <f>IF(AND(OR(LEFT(TH!L1194,2)="15",LEFT(TH!M1194,2)="15"),'152-CT'!$J$8=TH!F1194),"x","")</f>
        <v/>
      </c>
      <c r="Z1194" s="55" t="str">
        <f>IF(AND(OR(LEFT(TH!L1194,2)="15",LEFT(TH!M1194,2)="15"),TK!$E$7=TH!F1194),"x","")</f>
        <v/>
      </c>
      <c r="AA1194" s="55" t="str">
        <f>IF(AND(B1194&lt;=NKC!$N$8,B1194&gt;=NKC!$M$8),"x","")</f>
        <v/>
      </c>
    </row>
    <row r="1195" spans="1:29" s="226" customFormat="1" ht="15.75" customHeight="1">
      <c r="A1195" s="219" t="str">
        <f>IF(B1195&lt;&gt;"",IF(AND(B1195&gt;=_TM1,B1195&lt;=_TM2,OR(TH!L1195="1111",TH!M1195="1111")),TH!D1195,""),"")</f>
        <v/>
      </c>
      <c r="B1195" s="36">
        <f t="shared" si="39"/>
        <v>7</v>
      </c>
      <c r="C1195" s="205">
        <f t="shared" si="50"/>
        <v>41093</v>
      </c>
      <c r="D1195" s="205"/>
      <c r="E1195" s="205">
        <v>41093</v>
      </c>
      <c r="F1195" s="206" t="s">
        <v>1185</v>
      </c>
      <c r="G1195" s="581" t="s">
        <v>1400</v>
      </c>
      <c r="H1195" s="45" t="s">
        <v>1142</v>
      </c>
      <c r="I1195" s="277"/>
      <c r="J1195" s="277"/>
      <c r="K1195" s="38">
        <v>455000</v>
      </c>
      <c r="L1195" s="208" t="s">
        <v>311</v>
      </c>
      <c r="M1195" s="208" t="s">
        <v>549</v>
      </c>
      <c r="N1195" s="55" t="str">
        <f>IF(AND('331-CT'!$E$7=TH!H1195,OR(L1195="331",M1195="331")),"x","")</f>
        <v/>
      </c>
      <c r="O1195" s="55" t="str">
        <f>IF(AND($B1195&gt;='111'!$N$11,$B1195&lt;='111'!$O$11,OR($L1195=$O$7,$M1195=$O$7)),"x","")</f>
        <v/>
      </c>
      <c r="P1195" s="55" t="str">
        <f>IF(AND($L1195=$O$7,$B1195&lt;'111'!$N$11),"x","")</f>
        <v/>
      </c>
      <c r="Q1195" s="55" t="str">
        <f>IF(AND($M1195=$O$7,$B1195&lt;'111'!$N$11),"x","")</f>
        <v/>
      </c>
      <c r="R1195" s="55" t="str">
        <f>IF(ISERROR(FIND('112'!$M$9,G1195,1)),"",IF((AND(FIND('112'!$M$9,G1195,1)&gt;=1,$B1195&gt;='112'!$N$8,$B1195&lt;='112'!$O$8,OR($L1195='112'!$I$6,$M1195='112'!$I$6))),"x",""))</f>
        <v/>
      </c>
      <c r="S1195" s="55" t="str">
        <f>IF(ISERROR(FIND('112'!$M$9,G1195,1)),"",IF((AND(LEFT(G1195,2)=LEFT('112'!$M$9,2),B1195&lt;'112'!$N$8,$L1195='112'!$I$6)),"x",""))</f>
        <v/>
      </c>
      <c r="T1195" s="55" t="str">
        <f>IF(ISERROR(FIND('112'!$M$9,G1195,1)),"",IF((AND(RIGHT(G1195,2)=RIGHT('112'!$M$9,2),B1195&lt;'112'!$N$8,$M1195='112'!$I$6)),"x",""))</f>
        <v/>
      </c>
      <c r="U1195" s="55" t="str">
        <f>IF(AND('3411-CT'!$F$9=H1195,OR(LEFT(L1195,3)=$U$7,LEFT(M1195,3)=$U$7)),"x","")</f>
        <v/>
      </c>
      <c r="V1195" s="55" t="str">
        <f>IF(OR(TH!L1195=TH!$V$7,M1195=TH!$V$7),"x","")</f>
        <v/>
      </c>
      <c r="W1195" s="55" t="str">
        <f>IF(AND(OR(L1195="131",M1195="131"),H1195='131-CT'!$E$7),"x","")</f>
        <v/>
      </c>
      <c r="X1195" s="55" t="str">
        <f>IF(AND(B1195&gt;='IN-NX'!$P$3,B1195&lt;='IN-NX'!$Q$3,'IN-NX'!$D$7=D1195,OR(LEFT(TH!L1195,2)="15",LEFT(TH!M1195,2)="15")),"x","")</f>
        <v/>
      </c>
      <c r="Y1195" s="55" t="str">
        <f>IF(AND(OR(LEFT(TH!L1195,2)="15",LEFT(TH!M1195,2)="15"),'152-CT'!$J$8=TH!F1195),"x","")</f>
        <v/>
      </c>
      <c r="Z1195" s="55" t="str">
        <f>IF(AND(OR(LEFT(TH!L1195,2)="15",LEFT(TH!M1195,2)="15"),TK!$E$7=TH!F1195),"x","")</f>
        <v/>
      </c>
      <c r="AA1195" s="55" t="str">
        <f>IF(AND(B1195&lt;=NKC!$N$8,B1195&gt;=NKC!$M$8),"x","")</f>
        <v/>
      </c>
    </row>
    <row r="1196" spans="1:29" s="226" customFormat="1" ht="15.75" customHeight="1">
      <c r="A1196" s="219" t="str">
        <f>IF(B1196&lt;&gt;"",IF(AND(B1196&gt;=_TM1,B1196&lt;=_TM2,OR(TH!L1196="1111",TH!M1196="1111")),TH!D1196,""),"")</f>
        <v/>
      </c>
      <c r="B1196" s="36">
        <f t="shared" si="39"/>
        <v>7</v>
      </c>
      <c r="C1196" s="205">
        <f t="shared" si="50"/>
        <v>41095</v>
      </c>
      <c r="D1196" s="205"/>
      <c r="E1196" s="205">
        <v>41095</v>
      </c>
      <c r="F1196" s="206" t="s">
        <v>1367</v>
      </c>
      <c r="G1196" s="581" t="s">
        <v>1401</v>
      </c>
      <c r="H1196" s="207" t="s">
        <v>1256</v>
      </c>
      <c r="I1196" s="277">
        <v>500</v>
      </c>
      <c r="J1196" s="277">
        <v>8000</v>
      </c>
      <c r="K1196" s="38">
        <f t="shared" si="52"/>
        <v>4000000</v>
      </c>
      <c r="L1196" s="208" t="s">
        <v>49</v>
      </c>
      <c r="M1196" s="208" t="s">
        <v>208</v>
      </c>
      <c r="N1196" s="55" t="str">
        <f>IF(AND('331-CT'!$E$7=TH!H1196,OR(L1196="331",M1196="331")),"x","")</f>
        <v/>
      </c>
      <c r="O1196" s="55" t="str">
        <f>IF(AND($B1196&gt;='111'!$N$11,$B1196&lt;='111'!$O$11,OR($L1196=$O$7,$M1196=$O$7)),"x","")</f>
        <v/>
      </c>
      <c r="P1196" s="55" t="str">
        <f>IF(AND($L1196=$O$7,$B1196&lt;'111'!$N$11),"x","")</f>
        <v>x</v>
      </c>
      <c r="Q1196" s="55" t="str">
        <f>IF(AND($M1196=$O$7,$B1196&lt;'111'!$N$11),"x","")</f>
        <v/>
      </c>
      <c r="R1196" s="55" t="str">
        <f>IF(ISERROR(FIND('112'!$M$9,G1196,1)),"",IF((AND(FIND('112'!$M$9,G1196,1)&gt;=1,$B1196&gt;='112'!$N$8,$B1196&lt;='112'!$O$8,OR($L1196='112'!$I$6,$M1196='112'!$I$6))),"x",""))</f>
        <v/>
      </c>
      <c r="S1196" s="55" t="str">
        <f>IF(ISERROR(FIND('112'!$M$9,G1196,1)),"",IF((AND(LEFT(G1196,2)=LEFT('112'!$M$9,2),B1196&lt;'112'!$N$8,$L1196='112'!$I$6)),"x",""))</f>
        <v/>
      </c>
      <c r="T1196" s="55" t="str">
        <f>IF(ISERROR(FIND('112'!$M$9,G1196,1)),"",IF((AND(RIGHT(G1196,2)=RIGHT('112'!$M$9,2),B1196&lt;'112'!$N$8,$M1196='112'!$I$6)),"x",""))</f>
        <v/>
      </c>
      <c r="U1196" s="55" t="str">
        <f>IF(AND('3411-CT'!$F$9=H1196,OR(LEFT(L1196,3)=$U$7,LEFT(M1196,3)=$U$7)),"x","")</f>
        <v/>
      </c>
      <c r="V1196" s="55" t="str">
        <f>IF(OR(TH!L1196=TH!$V$7,M1196=TH!$V$7),"x","")</f>
        <v/>
      </c>
      <c r="W1196" s="55" t="str">
        <f>IF(AND(OR(L1196="131",M1196="131"),H1196='131-CT'!$E$7),"x","")</f>
        <v/>
      </c>
      <c r="X1196" s="55" t="str">
        <f>IF(AND(B1196&gt;='IN-NX'!$P$3,B1196&lt;='IN-NX'!$Q$3,'IN-NX'!$D$7=D1196,OR(LEFT(TH!L1196,2)="15",LEFT(TH!M1196,2)="15")),"x","")</f>
        <v/>
      </c>
      <c r="Y1196" s="55" t="str">
        <f>IF(AND(OR(LEFT(TH!L1196,2)="15",LEFT(TH!M1196,2)="15"),'152-CT'!$J$8=TH!F1196),"x","")</f>
        <v/>
      </c>
      <c r="Z1196" s="55" t="str">
        <f>IF(AND(OR(LEFT(TH!L1196,2)="15",LEFT(TH!M1196,2)="15"),TK!$E$7=TH!F1196),"x","")</f>
        <v/>
      </c>
      <c r="AA1196" s="55" t="str">
        <f>IF(AND(B1196&lt;=NKC!$N$8,B1196&gt;=NKC!$M$8),"x","")</f>
        <v/>
      </c>
    </row>
    <row r="1197" spans="1:29" s="226" customFormat="1" ht="15.75" customHeight="1">
      <c r="A1197" s="219" t="str">
        <f>IF(B1197&lt;&gt;"",IF(AND(B1197&gt;=_TM1,B1197&lt;=_TM2,OR(TH!L1197="1111",TH!M1197="1111")),TH!D1197,""),"")</f>
        <v/>
      </c>
      <c r="B1197" s="36">
        <f t="shared" si="39"/>
        <v>7</v>
      </c>
      <c r="C1197" s="205">
        <f t="shared" si="50"/>
        <v>41095</v>
      </c>
      <c r="D1197" s="205"/>
      <c r="E1197" s="205">
        <v>41095</v>
      </c>
      <c r="F1197" s="206" t="s">
        <v>1185</v>
      </c>
      <c r="G1197" s="581" t="s">
        <v>1401</v>
      </c>
      <c r="H1197" s="207" t="s">
        <v>1256</v>
      </c>
      <c r="I1197" s="277"/>
      <c r="J1197" s="277"/>
      <c r="K1197" s="38">
        <v>400000</v>
      </c>
      <c r="L1197" s="208" t="s">
        <v>49</v>
      </c>
      <c r="M1197" s="208" t="s">
        <v>549</v>
      </c>
      <c r="N1197" s="55" t="str">
        <f>IF(AND('331-CT'!$E$7=TH!H1197,OR(L1197="331",M1197="331")),"x","")</f>
        <v/>
      </c>
      <c r="O1197" s="55" t="str">
        <f>IF(AND($B1197&gt;='111'!$N$11,$B1197&lt;='111'!$O$11,OR($L1197=$O$7,$M1197=$O$7)),"x","")</f>
        <v/>
      </c>
      <c r="P1197" s="55" t="str">
        <f>IF(AND($L1197=$O$7,$B1197&lt;'111'!$N$11),"x","")</f>
        <v>x</v>
      </c>
      <c r="Q1197" s="55" t="str">
        <f>IF(AND($M1197=$O$7,$B1197&lt;'111'!$N$11),"x","")</f>
        <v/>
      </c>
      <c r="R1197" s="55" t="str">
        <f>IF(ISERROR(FIND('112'!$M$9,G1197,1)),"",IF((AND(FIND('112'!$M$9,G1197,1)&gt;=1,$B1197&gt;='112'!$N$8,$B1197&lt;='112'!$O$8,OR($L1197='112'!$I$6,$M1197='112'!$I$6))),"x",""))</f>
        <v/>
      </c>
      <c r="S1197" s="55" t="str">
        <f>IF(ISERROR(FIND('112'!$M$9,G1197,1)),"",IF((AND(LEFT(G1197,2)=LEFT('112'!$M$9,2),B1197&lt;'112'!$N$8,$L1197='112'!$I$6)),"x",""))</f>
        <v/>
      </c>
      <c r="T1197" s="55" t="str">
        <f>IF(ISERROR(FIND('112'!$M$9,G1197,1)),"",IF((AND(RIGHT(G1197,2)=RIGHT('112'!$M$9,2),B1197&lt;'112'!$N$8,$M1197='112'!$I$6)),"x",""))</f>
        <v/>
      </c>
      <c r="U1197" s="55" t="str">
        <f>IF(AND('3411-CT'!$F$9=H1197,OR(LEFT(L1197,3)=$U$7,LEFT(M1197,3)=$U$7)),"x","")</f>
        <v/>
      </c>
      <c r="V1197" s="55" t="str">
        <f>IF(OR(TH!L1197=TH!$V$7,M1197=TH!$V$7),"x","")</f>
        <v/>
      </c>
      <c r="W1197" s="55" t="str">
        <f>IF(AND(OR(L1197="131",M1197="131"),H1197='131-CT'!$E$7),"x","")</f>
        <v/>
      </c>
      <c r="X1197" s="55" t="str">
        <f>IF(AND(B1197&gt;='IN-NX'!$P$3,B1197&lt;='IN-NX'!$Q$3,'IN-NX'!$D$7=D1197,OR(LEFT(TH!L1197,2)="15",LEFT(TH!M1197,2)="15")),"x","")</f>
        <v/>
      </c>
      <c r="Y1197" s="55" t="str">
        <f>IF(AND(OR(LEFT(TH!L1197,2)="15",LEFT(TH!M1197,2)="15"),'152-CT'!$J$8=TH!F1197),"x","")</f>
        <v/>
      </c>
      <c r="Z1197" s="55" t="str">
        <f>IF(AND(OR(LEFT(TH!L1197,2)="15",LEFT(TH!M1197,2)="15"),TK!$E$7=TH!F1197),"x","")</f>
        <v/>
      </c>
      <c r="AA1197" s="55" t="str">
        <f>IF(AND(B1197&lt;=NKC!$N$8,B1197&gt;=NKC!$M$8),"x","")</f>
        <v/>
      </c>
    </row>
    <row r="1198" spans="1:29" s="226" customFormat="1" ht="15.75" customHeight="1">
      <c r="A1198" s="219" t="str">
        <f>IF(B1198&lt;&gt;"",IF(AND(B1198&gt;=_TM1,B1198&lt;=_TM2,OR(TH!L1198="1111",TH!M1198="1111")),TH!D1198,""),"")</f>
        <v/>
      </c>
      <c r="B1198" s="36">
        <f t="shared" si="39"/>
        <v>7</v>
      </c>
      <c r="C1198" s="205">
        <f t="shared" si="50"/>
        <v>41095</v>
      </c>
      <c r="D1198" s="205"/>
      <c r="E1198" s="205">
        <v>41095</v>
      </c>
      <c r="F1198" s="206" t="s">
        <v>1402</v>
      </c>
      <c r="G1198" s="581" t="s">
        <v>1403</v>
      </c>
      <c r="H1198" s="207" t="s">
        <v>1148</v>
      </c>
      <c r="I1198" s="277">
        <v>451</v>
      </c>
      <c r="J1198" s="277">
        <v>11020</v>
      </c>
      <c r="K1198" s="38">
        <f t="shared" si="52"/>
        <v>4970020</v>
      </c>
      <c r="L1198" s="208" t="s">
        <v>49</v>
      </c>
      <c r="M1198" s="208" t="s">
        <v>208</v>
      </c>
      <c r="N1198" s="55" t="str">
        <f>IF(AND('331-CT'!$E$7=TH!H1198,OR(L1198="331",M1198="331")),"x","")</f>
        <v/>
      </c>
      <c r="O1198" s="55" t="str">
        <f>IF(AND($B1198&gt;='111'!$N$11,$B1198&lt;='111'!$O$11,OR($L1198=$O$7,$M1198=$O$7)),"x","")</f>
        <v/>
      </c>
      <c r="P1198" s="55" t="str">
        <f>IF(AND($L1198=$O$7,$B1198&lt;'111'!$N$11),"x","")</f>
        <v>x</v>
      </c>
      <c r="Q1198" s="55" t="str">
        <f>IF(AND($M1198=$O$7,$B1198&lt;'111'!$N$11),"x","")</f>
        <v/>
      </c>
      <c r="R1198" s="55" t="str">
        <f>IF(ISERROR(FIND('112'!$M$9,G1198,1)),"",IF((AND(FIND('112'!$M$9,G1198,1)&gt;=1,$B1198&gt;='112'!$N$8,$B1198&lt;='112'!$O$8,OR($L1198='112'!$I$6,$M1198='112'!$I$6))),"x",""))</f>
        <v/>
      </c>
      <c r="S1198" s="55" t="str">
        <f>IF(ISERROR(FIND('112'!$M$9,G1198,1)),"",IF((AND(LEFT(G1198,2)=LEFT('112'!$M$9,2),B1198&lt;'112'!$N$8,$L1198='112'!$I$6)),"x",""))</f>
        <v/>
      </c>
      <c r="T1198" s="55" t="str">
        <f>IF(ISERROR(FIND('112'!$M$9,G1198,1)),"",IF((AND(RIGHT(G1198,2)=RIGHT('112'!$M$9,2),B1198&lt;'112'!$N$8,$M1198='112'!$I$6)),"x",""))</f>
        <v/>
      </c>
      <c r="U1198" s="55" t="str">
        <f>IF(AND('3411-CT'!$F$9=H1198,OR(LEFT(L1198,3)=$U$7,LEFT(M1198,3)=$U$7)),"x","")</f>
        <v/>
      </c>
      <c r="V1198" s="55" t="str">
        <f>IF(OR(TH!L1198=TH!$V$7,M1198=TH!$V$7),"x","")</f>
        <v/>
      </c>
      <c r="W1198" s="55" t="str">
        <f>IF(AND(OR(L1198="131",M1198="131"),H1198='131-CT'!$E$7),"x","")</f>
        <v/>
      </c>
      <c r="X1198" s="55" t="str">
        <f>IF(AND(B1198&gt;='IN-NX'!$P$3,B1198&lt;='IN-NX'!$Q$3,'IN-NX'!$D$7=D1198,OR(LEFT(TH!L1198,2)="15",LEFT(TH!M1198,2)="15")),"x","")</f>
        <v/>
      </c>
      <c r="Y1198" s="55" t="str">
        <f>IF(AND(OR(LEFT(TH!L1198,2)="15",LEFT(TH!M1198,2)="15"),'152-CT'!$J$8=TH!F1198),"x","")</f>
        <v/>
      </c>
      <c r="Z1198" s="55" t="str">
        <f>IF(AND(OR(LEFT(TH!L1198,2)="15",LEFT(TH!M1198,2)="15"),TK!$E$7=TH!F1198),"x","")</f>
        <v/>
      </c>
      <c r="AA1198" s="55" t="str">
        <f>IF(AND(B1198&lt;=NKC!$N$8,B1198&gt;=NKC!$M$8),"x","")</f>
        <v/>
      </c>
    </row>
    <row r="1199" spans="1:29" s="226" customFormat="1" ht="15.75" customHeight="1">
      <c r="A1199" s="219" t="str">
        <f>IF(B1199&lt;&gt;"",IF(AND(B1199&gt;=_TM1,B1199&lt;=_TM2,OR(TH!L1199="1111",TH!M1199="1111")),TH!D1199,""),"")</f>
        <v/>
      </c>
      <c r="B1199" s="36">
        <f t="shared" si="39"/>
        <v>7</v>
      </c>
      <c r="C1199" s="205">
        <f t="shared" si="50"/>
        <v>41095</v>
      </c>
      <c r="D1199" s="205"/>
      <c r="E1199" s="205">
        <v>41095</v>
      </c>
      <c r="F1199" s="206" t="s">
        <v>1185</v>
      </c>
      <c r="G1199" s="581" t="s">
        <v>1403</v>
      </c>
      <c r="H1199" s="207" t="s">
        <v>1148</v>
      </c>
      <c r="I1199" s="277"/>
      <c r="J1199" s="277"/>
      <c r="K1199" s="38">
        <v>497002</v>
      </c>
      <c r="L1199" s="208" t="s">
        <v>49</v>
      </c>
      <c r="M1199" s="208" t="s">
        <v>549</v>
      </c>
      <c r="N1199" s="55" t="str">
        <f>IF(AND('331-CT'!$E$7=TH!H1199,OR(L1199="331",M1199="331")),"x","")</f>
        <v/>
      </c>
      <c r="O1199" s="55" t="str">
        <f>IF(AND($B1199&gt;='111'!$N$11,$B1199&lt;='111'!$O$11,OR($L1199=$O$7,$M1199=$O$7)),"x","")</f>
        <v/>
      </c>
      <c r="P1199" s="55" t="str">
        <f>IF(AND($L1199=$O$7,$B1199&lt;'111'!$N$11),"x","")</f>
        <v>x</v>
      </c>
      <c r="Q1199" s="55" t="str">
        <f>IF(AND($M1199=$O$7,$B1199&lt;'111'!$N$11),"x","")</f>
        <v/>
      </c>
      <c r="R1199" s="55" t="str">
        <f>IF(ISERROR(FIND('112'!$M$9,G1199,1)),"",IF((AND(FIND('112'!$M$9,G1199,1)&gt;=1,$B1199&gt;='112'!$N$8,$B1199&lt;='112'!$O$8,OR($L1199='112'!$I$6,$M1199='112'!$I$6))),"x",""))</f>
        <v/>
      </c>
      <c r="S1199" s="55" t="str">
        <f>IF(ISERROR(FIND('112'!$M$9,G1199,1)),"",IF((AND(LEFT(G1199,2)=LEFT('112'!$M$9,2),B1199&lt;'112'!$N$8,$L1199='112'!$I$6)),"x",""))</f>
        <v/>
      </c>
      <c r="T1199" s="55" t="str">
        <f>IF(ISERROR(FIND('112'!$M$9,G1199,1)),"",IF((AND(RIGHT(G1199,2)=RIGHT('112'!$M$9,2),B1199&lt;'112'!$N$8,$M1199='112'!$I$6)),"x",""))</f>
        <v/>
      </c>
      <c r="U1199" s="55" t="str">
        <f>IF(AND('3411-CT'!$F$9=H1199,OR(LEFT(L1199,3)=$U$7,LEFT(M1199,3)=$U$7)),"x","")</f>
        <v/>
      </c>
      <c r="V1199" s="55" t="str">
        <f>IF(OR(TH!L1199=TH!$V$7,M1199=TH!$V$7),"x","")</f>
        <v/>
      </c>
      <c r="W1199" s="55" t="str">
        <f>IF(AND(OR(L1199="131",M1199="131"),H1199='131-CT'!$E$7),"x","")</f>
        <v/>
      </c>
      <c r="X1199" s="55" t="str">
        <f>IF(AND(B1199&gt;='IN-NX'!$P$3,B1199&lt;='IN-NX'!$Q$3,'IN-NX'!$D$7=D1199,OR(LEFT(TH!L1199,2)="15",LEFT(TH!M1199,2)="15")),"x","")</f>
        <v/>
      </c>
      <c r="Y1199" s="55" t="str">
        <f>IF(AND(OR(LEFT(TH!L1199,2)="15",LEFT(TH!M1199,2)="15"),'152-CT'!$J$8=TH!F1199),"x","")</f>
        <v/>
      </c>
      <c r="Z1199" s="55" t="str">
        <f>IF(AND(OR(LEFT(TH!L1199,2)="15",LEFT(TH!M1199,2)="15"),TK!$E$7=TH!F1199),"x","")</f>
        <v/>
      </c>
      <c r="AA1199" s="55" t="str">
        <f>IF(AND(B1199&lt;=NKC!$N$8,B1199&gt;=NKC!$M$8),"x","")</f>
        <v/>
      </c>
    </row>
    <row r="1200" spans="1:29" s="226" customFormat="1" ht="15.75" customHeight="1">
      <c r="A1200" s="219" t="str">
        <f>IF(B1200&lt;&gt;"",IF(AND(B1200&gt;=_TM1,B1200&lt;=_TM2,OR(TH!L1200="1111",TH!M1200="1111")),TH!D1200,""),"")</f>
        <v/>
      </c>
      <c r="B1200" s="36">
        <f t="shared" si="39"/>
        <v>7</v>
      </c>
      <c r="C1200" s="205">
        <f t="shared" si="50"/>
        <v>41095</v>
      </c>
      <c r="D1200" s="205"/>
      <c r="E1200" s="205">
        <v>41095</v>
      </c>
      <c r="F1200" s="206" t="s">
        <v>1404</v>
      </c>
      <c r="G1200" s="581" t="s">
        <v>1405</v>
      </c>
      <c r="H1200" s="207" t="s">
        <v>1207</v>
      </c>
      <c r="I1200" s="277">
        <v>622</v>
      </c>
      <c r="J1200" s="277">
        <v>6990</v>
      </c>
      <c r="K1200" s="38">
        <f t="shared" si="52"/>
        <v>4347780</v>
      </c>
      <c r="L1200" s="208" t="s">
        <v>49</v>
      </c>
      <c r="M1200" s="208" t="s">
        <v>208</v>
      </c>
      <c r="N1200" s="55" t="str">
        <f>IF(AND('331-CT'!$E$7=TH!H1200,OR(L1200="331",M1200="331")),"x","")</f>
        <v/>
      </c>
      <c r="O1200" s="55" t="str">
        <f>IF(AND($B1200&gt;='111'!$N$11,$B1200&lt;='111'!$O$11,OR($L1200=$O$7,$M1200=$O$7)),"x","")</f>
        <v/>
      </c>
      <c r="P1200" s="55" t="str">
        <f>IF(AND($L1200=$O$7,$B1200&lt;'111'!$N$11),"x","")</f>
        <v>x</v>
      </c>
      <c r="Q1200" s="55" t="str">
        <f>IF(AND($M1200=$O$7,$B1200&lt;'111'!$N$11),"x","")</f>
        <v/>
      </c>
      <c r="R1200" s="55" t="str">
        <f>IF(ISERROR(FIND('112'!$M$9,G1200,1)),"",IF((AND(FIND('112'!$M$9,G1200,1)&gt;=1,$B1200&gt;='112'!$N$8,$B1200&lt;='112'!$O$8,OR($L1200='112'!$I$6,$M1200='112'!$I$6))),"x",""))</f>
        <v/>
      </c>
      <c r="S1200" s="55" t="str">
        <f>IF(ISERROR(FIND('112'!$M$9,G1200,1)),"",IF((AND(LEFT(G1200,2)=LEFT('112'!$M$9,2),B1200&lt;'112'!$N$8,$L1200='112'!$I$6)),"x",""))</f>
        <v/>
      </c>
      <c r="T1200" s="55" t="str">
        <f>IF(ISERROR(FIND('112'!$M$9,G1200,1)),"",IF((AND(RIGHT(G1200,2)=RIGHT('112'!$M$9,2),B1200&lt;'112'!$N$8,$M1200='112'!$I$6)),"x",""))</f>
        <v/>
      </c>
      <c r="U1200" s="55" t="str">
        <f>IF(AND('3411-CT'!$F$9=H1200,OR(LEFT(L1200,3)=$U$7,LEFT(M1200,3)=$U$7)),"x","")</f>
        <v/>
      </c>
      <c r="V1200" s="55" t="str">
        <f>IF(OR(TH!L1200=TH!$V$7,M1200=TH!$V$7),"x","")</f>
        <v/>
      </c>
      <c r="W1200" s="55" t="str">
        <f>IF(AND(OR(L1200="131",M1200="131"),H1200='131-CT'!$E$7),"x","")</f>
        <v/>
      </c>
      <c r="X1200" s="55" t="str">
        <f>IF(AND(B1200&gt;='IN-NX'!$P$3,B1200&lt;='IN-NX'!$Q$3,'IN-NX'!$D$7=D1200,OR(LEFT(TH!L1200,2)="15",LEFT(TH!M1200,2)="15")),"x","")</f>
        <v/>
      </c>
      <c r="Y1200" s="55" t="str">
        <f>IF(AND(OR(LEFT(TH!L1200,2)="15",LEFT(TH!M1200,2)="15"),'152-CT'!$J$8=TH!F1200),"x","")</f>
        <v/>
      </c>
      <c r="Z1200" s="55" t="str">
        <f>IF(AND(OR(LEFT(TH!L1200,2)="15",LEFT(TH!M1200,2)="15"),TK!$E$7=TH!F1200),"x","")</f>
        <v/>
      </c>
      <c r="AA1200" s="55" t="str">
        <f>IF(AND(B1200&lt;=NKC!$N$8,B1200&gt;=NKC!$M$8),"x","")</f>
        <v/>
      </c>
    </row>
    <row r="1201" spans="1:29" ht="15.75" customHeight="1">
      <c r="A1201" s="219" t="str">
        <f>IF(B1201&lt;&gt;"",IF(AND(B1201&gt;=_TM1,B1201&lt;=_TM2,OR(TH!L1201="1111",TH!M1201="1111")),TH!D1201,""),"")</f>
        <v/>
      </c>
      <c r="B1201" s="36">
        <f t="shared" si="39"/>
        <v>7</v>
      </c>
      <c r="C1201" s="205">
        <f t="shared" si="50"/>
        <v>41095</v>
      </c>
      <c r="D1201" s="205"/>
      <c r="E1201" s="205">
        <v>41095</v>
      </c>
      <c r="F1201" s="206" t="s">
        <v>1406</v>
      </c>
      <c r="G1201" s="581" t="s">
        <v>1405</v>
      </c>
      <c r="H1201" s="207" t="s">
        <v>1207</v>
      </c>
      <c r="I1201" s="277">
        <v>295</v>
      </c>
      <c r="J1201" s="277">
        <v>8050</v>
      </c>
      <c r="K1201" s="38">
        <f t="shared" si="52"/>
        <v>2374750</v>
      </c>
      <c r="L1201" s="208" t="s">
        <v>49</v>
      </c>
      <c r="M1201" s="208" t="s">
        <v>208</v>
      </c>
      <c r="N1201" s="55" t="str">
        <f>IF(AND('331-CT'!$E$7=TH!H1201,OR(L1201="331",M1201="331")),"x","")</f>
        <v/>
      </c>
      <c r="O1201" s="55" t="str">
        <f>IF(AND($B1201&gt;='111'!$N$11,$B1201&lt;='111'!$O$11,OR($L1201=$O$7,$M1201=$O$7)),"x","")</f>
        <v/>
      </c>
      <c r="P1201" s="55" t="str">
        <f>IF(AND($L1201=$O$7,$B1201&lt;'111'!$N$11),"x","")</f>
        <v>x</v>
      </c>
      <c r="Q1201" s="55" t="str">
        <f>IF(AND($M1201=$O$7,$B1201&lt;'111'!$N$11),"x","")</f>
        <v/>
      </c>
      <c r="R1201" s="55" t="str">
        <f>IF(ISERROR(FIND('112'!$M$9,G1201,1)),"",IF((AND(FIND('112'!$M$9,G1201,1)&gt;=1,$B1201&gt;='112'!$N$8,$B1201&lt;='112'!$O$8,OR($L1201='112'!$I$6,$M1201='112'!$I$6))),"x",""))</f>
        <v/>
      </c>
      <c r="S1201" s="55" t="str">
        <f>IF(ISERROR(FIND('112'!$M$9,G1201,1)),"",IF((AND(LEFT(G1201,2)=LEFT('112'!$M$9,2),B1201&lt;'112'!$N$8,$L1201='112'!$I$6)),"x",""))</f>
        <v/>
      </c>
      <c r="T1201" s="55" t="str">
        <f>IF(ISERROR(FIND('112'!$M$9,G1201,1)),"",IF((AND(RIGHT(G1201,2)=RIGHT('112'!$M$9,2),B1201&lt;'112'!$N$8,$M1201='112'!$I$6)),"x",""))</f>
        <v/>
      </c>
      <c r="U1201" s="55" t="str">
        <f>IF(AND('3411-CT'!$F$9=H1201,OR(LEFT(L1201,3)=$U$7,LEFT(M1201,3)=$U$7)),"x","")</f>
        <v/>
      </c>
      <c r="V1201" s="55" t="str">
        <f>IF(OR(TH!L1201=TH!$V$7,M1201=TH!$V$7),"x","")</f>
        <v/>
      </c>
      <c r="W1201" s="55" t="str">
        <f>IF(AND(OR(L1201="131",M1201="131"),H1201='131-CT'!$E$7),"x","")</f>
        <v/>
      </c>
      <c r="X1201" s="55" t="str">
        <f>IF(AND(B1201&gt;='IN-NX'!$P$3,B1201&lt;='IN-NX'!$Q$3,'IN-NX'!$D$7=D1201,OR(LEFT(TH!L1201,2)="15",LEFT(TH!M1201,2)="15")),"x","")</f>
        <v/>
      </c>
      <c r="Y1201" s="55" t="str">
        <f>IF(AND(OR(LEFT(TH!L1201,2)="15",LEFT(TH!M1201,2)="15"),'152-CT'!$J$8=TH!F1201),"x","")</f>
        <v/>
      </c>
      <c r="Z1201" s="55" t="str">
        <f>IF(AND(OR(LEFT(TH!L1201,2)="15",LEFT(TH!M1201,2)="15"),TK!$E$7=TH!F1201),"x","")</f>
        <v/>
      </c>
      <c r="AA1201" s="55" t="str">
        <f>IF(AND(B1201&lt;=NKC!$N$8,B1201&gt;=NKC!$M$8),"x","")</f>
        <v/>
      </c>
    </row>
    <row r="1202" spans="1:29" ht="15.75" customHeight="1">
      <c r="A1202" s="219" t="str">
        <f>IF(B1202&lt;&gt;"",IF(AND(B1202&gt;=_TM1,B1202&lt;=_TM2,OR(TH!L1202="1111",TH!M1202="1111")),TH!D1202,""),"")</f>
        <v/>
      </c>
      <c r="B1202" s="36">
        <f t="shared" si="39"/>
        <v>7</v>
      </c>
      <c r="C1202" s="205">
        <f t="shared" si="50"/>
        <v>41095</v>
      </c>
      <c r="D1202" s="205"/>
      <c r="E1202" s="205">
        <v>41095</v>
      </c>
      <c r="F1202" s="206" t="s">
        <v>1407</v>
      </c>
      <c r="G1202" s="581" t="s">
        <v>1405</v>
      </c>
      <c r="H1202" s="207" t="s">
        <v>1207</v>
      </c>
      <c r="I1202" s="277">
        <v>70</v>
      </c>
      <c r="J1202" s="277">
        <v>9512</v>
      </c>
      <c r="K1202" s="38">
        <f t="shared" si="52"/>
        <v>665840</v>
      </c>
      <c r="L1202" s="208" t="s">
        <v>49</v>
      </c>
      <c r="M1202" s="208" t="s">
        <v>208</v>
      </c>
      <c r="N1202" s="55" t="str">
        <f>IF(AND('331-CT'!$E$7=TH!H1202,OR(L1202="331",M1202="331")),"x","")</f>
        <v/>
      </c>
      <c r="O1202" s="55" t="str">
        <f>IF(AND($B1202&gt;='111'!$N$11,$B1202&lt;='111'!$O$11,OR($L1202=$O$7,$M1202=$O$7)),"x","")</f>
        <v/>
      </c>
      <c r="P1202" s="55" t="str">
        <f>IF(AND($L1202=$O$7,$B1202&lt;'111'!$N$11),"x","")</f>
        <v>x</v>
      </c>
      <c r="Q1202" s="55" t="str">
        <f>IF(AND($M1202=$O$7,$B1202&lt;'111'!$N$11),"x","")</f>
        <v/>
      </c>
      <c r="R1202" s="55" t="str">
        <f>IF(ISERROR(FIND('112'!$M$9,G1202,1)),"",IF((AND(FIND('112'!$M$9,G1202,1)&gt;=1,$B1202&gt;='112'!$N$8,$B1202&lt;='112'!$O$8,OR($L1202='112'!$I$6,$M1202='112'!$I$6))),"x",""))</f>
        <v/>
      </c>
      <c r="S1202" s="55" t="str">
        <f>IF(ISERROR(FIND('112'!$M$9,G1202,1)),"",IF((AND(LEFT(G1202,2)=LEFT('112'!$M$9,2),B1202&lt;'112'!$N$8,$L1202='112'!$I$6)),"x",""))</f>
        <v/>
      </c>
      <c r="T1202" s="55" t="str">
        <f>IF(ISERROR(FIND('112'!$M$9,G1202,1)),"",IF((AND(RIGHT(G1202,2)=RIGHT('112'!$M$9,2),B1202&lt;'112'!$N$8,$M1202='112'!$I$6)),"x",""))</f>
        <v/>
      </c>
      <c r="U1202" s="55" t="str">
        <f>IF(AND('3411-CT'!$F$9=H1202,OR(LEFT(L1202,3)=$U$7,LEFT(M1202,3)=$U$7)),"x","")</f>
        <v/>
      </c>
      <c r="V1202" s="55" t="str">
        <f>IF(OR(TH!L1202=TH!$V$7,M1202=TH!$V$7),"x","")</f>
        <v/>
      </c>
      <c r="W1202" s="55" t="str">
        <f>IF(AND(OR(L1202="131",M1202="131"),H1202='131-CT'!$E$7),"x","")</f>
        <v/>
      </c>
      <c r="X1202" s="55" t="str">
        <f>IF(AND(B1202&gt;='IN-NX'!$P$3,B1202&lt;='IN-NX'!$Q$3,'IN-NX'!$D$7=D1202,OR(LEFT(TH!L1202,2)="15",LEFT(TH!M1202,2)="15")),"x","")</f>
        <v/>
      </c>
      <c r="Y1202" s="55" t="str">
        <f>IF(AND(OR(LEFT(TH!L1202,2)="15",LEFT(TH!M1202,2)="15"),'152-CT'!$J$8=TH!F1202),"x","")</f>
        <v/>
      </c>
      <c r="Z1202" s="55" t="str">
        <f>IF(AND(OR(LEFT(TH!L1202,2)="15",LEFT(TH!M1202,2)="15"),TK!$E$7=TH!F1202),"x","")</f>
        <v/>
      </c>
      <c r="AA1202" s="55" t="str">
        <f>IF(AND(B1202&lt;=NKC!$N$8,B1202&gt;=NKC!$M$8),"x","")</f>
        <v/>
      </c>
    </row>
    <row r="1203" spans="1:29" ht="15.75" customHeight="1">
      <c r="A1203" s="219" t="str">
        <f>IF(B1203&lt;&gt;"",IF(AND(B1203&gt;=_TM1,B1203&lt;=_TM2,OR(TH!L1203="1111",TH!M1203="1111")),TH!D1203,""),"")</f>
        <v/>
      </c>
      <c r="B1203" s="36">
        <f t="shared" si="39"/>
        <v>7</v>
      </c>
      <c r="C1203" s="205">
        <f t="shared" si="50"/>
        <v>41095</v>
      </c>
      <c r="D1203" s="205"/>
      <c r="E1203" s="205">
        <v>41095</v>
      </c>
      <c r="F1203" s="206" t="s">
        <v>1185</v>
      </c>
      <c r="G1203" s="581" t="s">
        <v>1405</v>
      </c>
      <c r="H1203" s="207" t="s">
        <v>1207</v>
      </c>
      <c r="I1203" s="277"/>
      <c r="J1203" s="277"/>
      <c r="K1203" s="38">
        <v>738837</v>
      </c>
      <c r="L1203" s="208" t="s">
        <v>49</v>
      </c>
      <c r="M1203" s="208" t="s">
        <v>549</v>
      </c>
      <c r="N1203" s="55" t="str">
        <f>IF(AND('331-CT'!$E$7=TH!H1203,OR(L1203="331",M1203="331")),"x","")</f>
        <v/>
      </c>
      <c r="O1203" s="55" t="str">
        <f>IF(AND($B1203&gt;='111'!$N$11,$B1203&lt;='111'!$O$11,OR($L1203=$O$7,$M1203=$O$7)),"x","")</f>
        <v/>
      </c>
      <c r="P1203" s="55" t="str">
        <f>IF(AND($L1203=$O$7,$B1203&lt;'111'!$N$11),"x","")</f>
        <v>x</v>
      </c>
      <c r="Q1203" s="55" t="str">
        <f>IF(AND($M1203=$O$7,$B1203&lt;'111'!$N$11),"x","")</f>
        <v/>
      </c>
      <c r="R1203" s="55" t="str">
        <f>IF(ISERROR(FIND('112'!$M$9,G1203,1)),"",IF((AND(FIND('112'!$M$9,G1203,1)&gt;=1,$B1203&gt;='112'!$N$8,$B1203&lt;='112'!$O$8,OR($L1203='112'!$I$6,$M1203='112'!$I$6))),"x",""))</f>
        <v/>
      </c>
      <c r="S1203" s="55" t="str">
        <f>IF(ISERROR(FIND('112'!$M$9,G1203,1)),"",IF((AND(LEFT(G1203,2)=LEFT('112'!$M$9,2),B1203&lt;'112'!$N$8,$L1203='112'!$I$6)),"x",""))</f>
        <v/>
      </c>
      <c r="T1203" s="55" t="str">
        <f>IF(ISERROR(FIND('112'!$M$9,G1203,1)),"",IF((AND(RIGHT(G1203,2)=RIGHT('112'!$M$9,2),B1203&lt;'112'!$N$8,$M1203='112'!$I$6)),"x",""))</f>
        <v/>
      </c>
      <c r="U1203" s="55" t="str">
        <f>IF(AND('3411-CT'!$F$9=H1203,OR(LEFT(L1203,3)=$U$7,LEFT(M1203,3)=$U$7)),"x","")</f>
        <v/>
      </c>
      <c r="V1203" s="55" t="str">
        <f>IF(OR(TH!L1203=TH!$V$7,M1203=TH!$V$7),"x","")</f>
        <v/>
      </c>
      <c r="W1203" s="55" t="str">
        <f>IF(AND(OR(L1203="131",M1203="131"),H1203='131-CT'!$E$7),"x","")</f>
        <v/>
      </c>
      <c r="X1203" s="55" t="str">
        <f>IF(AND(B1203&gt;='IN-NX'!$P$3,B1203&lt;='IN-NX'!$Q$3,'IN-NX'!$D$7=D1203,OR(LEFT(TH!L1203,2)="15",LEFT(TH!M1203,2)="15")),"x","")</f>
        <v/>
      </c>
      <c r="Y1203" s="55" t="str">
        <f>IF(AND(OR(LEFT(TH!L1203,2)="15",LEFT(TH!M1203,2)="15"),'152-CT'!$J$8=TH!F1203),"x","")</f>
        <v/>
      </c>
      <c r="Z1203" s="55" t="str">
        <f>IF(AND(OR(LEFT(TH!L1203,2)="15",LEFT(TH!M1203,2)="15"),TK!$E$7=TH!F1203),"x","")</f>
        <v/>
      </c>
      <c r="AA1203" s="55" t="str">
        <f>IF(AND(B1203&lt;=NKC!$N$8,B1203&gt;=NKC!$M$8),"x","")</f>
        <v/>
      </c>
      <c r="AC1203" s="226"/>
    </row>
    <row r="1204" spans="1:29" ht="15.75" customHeight="1">
      <c r="A1204" s="219" t="str">
        <f>IF(B1204&lt;&gt;"",IF(AND(B1204&gt;=_TM1,B1204&lt;=_TM2,OR(TH!L1204="1111",TH!M1204="1111")),TH!D1204,""),"")</f>
        <v/>
      </c>
      <c r="B1204" s="36">
        <f t="shared" si="39"/>
        <v>7</v>
      </c>
      <c r="C1204" s="205">
        <f t="shared" ref="C1204:C1267" si="53">E1204</f>
        <v>41096</v>
      </c>
      <c r="D1204" s="205"/>
      <c r="E1204" s="205">
        <v>41096</v>
      </c>
      <c r="F1204" s="206" t="s">
        <v>1408</v>
      </c>
      <c r="G1204" s="581" t="s">
        <v>1409</v>
      </c>
      <c r="H1204" s="7" t="s">
        <v>416</v>
      </c>
      <c r="I1204" s="275">
        <v>1210</v>
      </c>
      <c r="J1204" s="275">
        <v>6160</v>
      </c>
      <c r="K1204" s="38">
        <f t="shared" si="52"/>
        <v>7453600</v>
      </c>
      <c r="L1204" s="208" t="s">
        <v>311</v>
      </c>
      <c r="M1204" s="208" t="s">
        <v>208</v>
      </c>
      <c r="N1204" s="55" t="str">
        <f>IF(AND('331-CT'!$E$7=TH!H1204,OR(L1204="331",M1204="331")),"x","")</f>
        <v/>
      </c>
      <c r="O1204" s="55" t="str">
        <f>IF(AND($B1204&gt;='111'!$N$11,$B1204&lt;='111'!$O$11,OR($L1204=$O$7,$M1204=$O$7)),"x","")</f>
        <v/>
      </c>
      <c r="P1204" s="55" t="str">
        <f>IF(AND($L1204=$O$7,$B1204&lt;'111'!$N$11),"x","")</f>
        <v/>
      </c>
      <c r="Q1204" s="55" t="str">
        <f>IF(AND($M1204=$O$7,$B1204&lt;'111'!$N$11),"x","")</f>
        <v/>
      </c>
      <c r="R1204" s="55" t="str">
        <f>IF(ISERROR(FIND('112'!$M$9,G1204,1)),"",IF((AND(FIND('112'!$M$9,G1204,1)&gt;=1,$B1204&gt;='112'!$N$8,$B1204&lt;='112'!$O$8,OR($L1204='112'!$I$6,$M1204='112'!$I$6))),"x",""))</f>
        <v/>
      </c>
      <c r="S1204" s="55" t="str">
        <f>IF(ISERROR(FIND('112'!$M$9,G1204,1)),"",IF((AND(LEFT(G1204,2)=LEFT('112'!$M$9,2),B1204&lt;'112'!$N$8,$L1204='112'!$I$6)),"x",""))</f>
        <v/>
      </c>
      <c r="T1204" s="55" t="str">
        <f>IF(ISERROR(FIND('112'!$M$9,G1204,1)),"",IF((AND(RIGHT(G1204,2)=RIGHT('112'!$M$9,2),B1204&lt;'112'!$N$8,$M1204='112'!$I$6)),"x",""))</f>
        <v/>
      </c>
      <c r="U1204" s="55" t="str">
        <f>IF(AND('3411-CT'!$F$9=H1204,OR(LEFT(L1204,3)=$U$7,LEFT(M1204,3)=$U$7)),"x","")</f>
        <v/>
      </c>
      <c r="V1204" s="55" t="str">
        <f>IF(OR(TH!L1204=TH!$V$7,M1204=TH!$V$7),"x","")</f>
        <v/>
      </c>
      <c r="W1204" s="55" t="str">
        <f>IF(AND(OR(L1204="131",M1204="131"),H1204='131-CT'!$E$7),"x","")</f>
        <v/>
      </c>
      <c r="X1204" s="55" t="str">
        <f>IF(AND(B1204&gt;='IN-NX'!$P$3,B1204&lt;='IN-NX'!$Q$3,'IN-NX'!$D$7=D1204,OR(LEFT(TH!L1204,2)="15",LEFT(TH!M1204,2)="15")),"x","")</f>
        <v/>
      </c>
      <c r="Y1204" s="55" t="str">
        <f>IF(AND(OR(LEFT(TH!L1204,2)="15",LEFT(TH!M1204,2)="15"),'152-CT'!$J$8=TH!F1204),"x","")</f>
        <v/>
      </c>
      <c r="Z1204" s="55" t="str">
        <f>IF(AND(OR(LEFT(TH!L1204,2)="15",LEFT(TH!M1204,2)="15"),TK!$E$7=TH!F1204),"x","")</f>
        <v/>
      </c>
      <c r="AA1204" s="55" t="str">
        <f>IF(AND(B1204&lt;=NKC!$N$8,B1204&gt;=NKC!$M$8),"x","")</f>
        <v/>
      </c>
    </row>
    <row r="1205" spans="1:29" ht="15.75" customHeight="1">
      <c r="A1205" s="219" t="str">
        <f>IF(B1205&lt;&gt;"",IF(AND(B1205&gt;=_TM1,B1205&lt;=_TM2,OR(TH!L1205="1111",TH!M1205="1111")),TH!D1205,""),"")</f>
        <v/>
      </c>
      <c r="B1205" s="36">
        <f t="shared" si="39"/>
        <v>7</v>
      </c>
      <c r="C1205" s="205">
        <f t="shared" si="53"/>
        <v>41096</v>
      </c>
      <c r="D1205" s="205"/>
      <c r="E1205" s="205">
        <v>41096</v>
      </c>
      <c r="F1205" s="206" t="s">
        <v>1410</v>
      </c>
      <c r="G1205" s="581" t="s">
        <v>1409</v>
      </c>
      <c r="H1205" s="7" t="s">
        <v>416</v>
      </c>
      <c r="I1205" s="275">
        <v>310</v>
      </c>
      <c r="J1205" s="275">
        <v>13320</v>
      </c>
      <c r="K1205" s="38">
        <f t="shared" si="52"/>
        <v>4129200</v>
      </c>
      <c r="L1205" s="208" t="s">
        <v>311</v>
      </c>
      <c r="M1205" s="208" t="s">
        <v>208</v>
      </c>
      <c r="N1205" s="55" t="str">
        <f>IF(AND('331-CT'!$E$7=TH!H1205,OR(L1205="331",M1205="331")),"x","")</f>
        <v/>
      </c>
      <c r="O1205" s="55" t="str">
        <f>IF(AND($B1205&gt;='111'!$N$11,$B1205&lt;='111'!$O$11,OR($L1205=$O$7,$M1205=$O$7)),"x","")</f>
        <v/>
      </c>
      <c r="P1205" s="55" t="str">
        <f>IF(AND($L1205=$O$7,$B1205&lt;'111'!$N$11),"x","")</f>
        <v/>
      </c>
      <c r="Q1205" s="55" t="str">
        <f>IF(AND($M1205=$O$7,$B1205&lt;'111'!$N$11),"x","")</f>
        <v/>
      </c>
      <c r="R1205" s="55" t="str">
        <f>IF(ISERROR(FIND('112'!$M$9,G1205,1)),"",IF((AND(FIND('112'!$M$9,G1205,1)&gt;=1,$B1205&gt;='112'!$N$8,$B1205&lt;='112'!$O$8,OR($L1205='112'!$I$6,$M1205='112'!$I$6))),"x",""))</f>
        <v/>
      </c>
      <c r="S1205" s="55" t="str">
        <f>IF(ISERROR(FIND('112'!$M$9,G1205,1)),"",IF((AND(LEFT(G1205,2)=LEFT('112'!$M$9,2),B1205&lt;'112'!$N$8,$L1205='112'!$I$6)),"x",""))</f>
        <v/>
      </c>
      <c r="T1205" s="55" t="str">
        <f>IF(ISERROR(FIND('112'!$M$9,G1205,1)),"",IF((AND(RIGHT(G1205,2)=RIGHT('112'!$M$9,2),B1205&lt;'112'!$N$8,$M1205='112'!$I$6)),"x",""))</f>
        <v/>
      </c>
      <c r="U1205" s="55" t="str">
        <f>IF(AND('3411-CT'!$F$9=H1205,OR(LEFT(L1205,3)=$U$7,LEFT(M1205,3)=$U$7)),"x","")</f>
        <v/>
      </c>
      <c r="V1205" s="55" t="str">
        <f>IF(OR(TH!L1205=TH!$V$7,M1205=TH!$V$7),"x","")</f>
        <v/>
      </c>
      <c r="W1205" s="55" t="str">
        <f>IF(AND(OR(L1205="131",M1205="131"),H1205='131-CT'!$E$7),"x","")</f>
        <v/>
      </c>
      <c r="X1205" s="55" t="str">
        <f>IF(AND(B1205&gt;='IN-NX'!$P$3,B1205&lt;='IN-NX'!$Q$3,'IN-NX'!$D$7=D1205,OR(LEFT(TH!L1205,2)="15",LEFT(TH!M1205,2)="15")),"x","")</f>
        <v/>
      </c>
      <c r="Y1205" s="55" t="str">
        <f>IF(AND(OR(LEFT(TH!L1205,2)="15",LEFT(TH!M1205,2)="15"),'152-CT'!$J$8=TH!F1205),"x","")</f>
        <v/>
      </c>
      <c r="Z1205" s="55" t="str">
        <f>IF(AND(OR(LEFT(TH!L1205,2)="15",LEFT(TH!M1205,2)="15"),TK!$E$7=TH!F1205),"x","")</f>
        <v/>
      </c>
      <c r="AA1205" s="55" t="str">
        <f>IF(AND(B1205&lt;=NKC!$N$8,B1205&gt;=NKC!$M$8),"x","")</f>
        <v/>
      </c>
    </row>
    <row r="1206" spans="1:29" ht="15.75" customHeight="1">
      <c r="A1206" s="219" t="str">
        <f>IF(B1206&lt;&gt;"",IF(AND(B1206&gt;=_TM1,B1206&lt;=_TM2,OR(TH!L1206="1111",TH!M1206="1111")),TH!D1206,""),"")</f>
        <v/>
      </c>
      <c r="B1206" s="36">
        <f t="shared" si="39"/>
        <v>7</v>
      </c>
      <c r="C1206" s="205">
        <f t="shared" si="53"/>
        <v>41096</v>
      </c>
      <c r="D1206" s="205"/>
      <c r="E1206" s="205">
        <v>41096</v>
      </c>
      <c r="F1206" s="206" t="s">
        <v>1411</v>
      </c>
      <c r="G1206" s="581" t="s">
        <v>1409</v>
      </c>
      <c r="H1206" s="7" t="s">
        <v>416</v>
      </c>
      <c r="I1206" s="277">
        <v>324</v>
      </c>
      <c r="J1206" s="277">
        <v>5060</v>
      </c>
      <c r="K1206" s="38">
        <f t="shared" si="52"/>
        <v>1639440</v>
      </c>
      <c r="L1206" s="208" t="s">
        <v>311</v>
      </c>
      <c r="M1206" s="208" t="s">
        <v>208</v>
      </c>
      <c r="N1206" s="55" t="str">
        <f>IF(AND('331-CT'!$E$7=TH!H1206,OR(L1206="331",M1206="331")),"x","")</f>
        <v/>
      </c>
      <c r="O1206" s="55" t="str">
        <f>IF(AND($B1206&gt;='111'!$N$11,$B1206&lt;='111'!$O$11,OR($L1206=$O$7,$M1206=$O$7)),"x","")</f>
        <v/>
      </c>
      <c r="P1206" s="55" t="str">
        <f>IF(AND($L1206=$O$7,$B1206&lt;'111'!$N$11),"x","")</f>
        <v/>
      </c>
      <c r="Q1206" s="55" t="str">
        <f>IF(AND($M1206=$O$7,$B1206&lt;'111'!$N$11),"x","")</f>
        <v/>
      </c>
      <c r="R1206" s="55" t="str">
        <f>IF(ISERROR(FIND('112'!$M$9,G1206,1)),"",IF((AND(FIND('112'!$M$9,G1206,1)&gt;=1,$B1206&gt;='112'!$N$8,$B1206&lt;='112'!$O$8,OR($L1206='112'!$I$6,$M1206='112'!$I$6))),"x",""))</f>
        <v/>
      </c>
      <c r="S1206" s="55" t="str">
        <f>IF(ISERROR(FIND('112'!$M$9,G1206,1)),"",IF((AND(LEFT(G1206,2)=LEFT('112'!$M$9,2),B1206&lt;'112'!$N$8,$L1206='112'!$I$6)),"x",""))</f>
        <v/>
      </c>
      <c r="T1206" s="55" t="str">
        <f>IF(ISERROR(FIND('112'!$M$9,G1206,1)),"",IF((AND(RIGHT(G1206,2)=RIGHT('112'!$M$9,2),B1206&lt;'112'!$N$8,$M1206='112'!$I$6)),"x",""))</f>
        <v/>
      </c>
      <c r="U1206" s="55" t="str">
        <f>IF(AND('3411-CT'!$F$9=H1206,OR(LEFT(L1206,3)=$U$7,LEFT(M1206,3)=$U$7)),"x","")</f>
        <v/>
      </c>
      <c r="V1206" s="55" t="str">
        <f>IF(OR(TH!L1206=TH!$V$7,M1206=TH!$V$7),"x","")</f>
        <v/>
      </c>
      <c r="W1206" s="55" t="str">
        <f>IF(AND(OR(L1206="131",M1206="131"),H1206='131-CT'!$E$7),"x","")</f>
        <v/>
      </c>
      <c r="X1206" s="55" t="str">
        <f>IF(AND(B1206&gt;='IN-NX'!$P$3,B1206&lt;='IN-NX'!$Q$3,'IN-NX'!$D$7=D1206,OR(LEFT(TH!L1206,2)="15",LEFT(TH!M1206,2)="15")),"x","")</f>
        <v/>
      </c>
      <c r="Y1206" s="55" t="str">
        <f>IF(AND(OR(LEFT(TH!L1206,2)="15",LEFT(TH!M1206,2)="15"),'152-CT'!$J$8=TH!F1206),"x","")</f>
        <v/>
      </c>
      <c r="Z1206" s="55" t="str">
        <f>IF(AND(OR(LEFT(TH!L1206,2)="15",LEFT(TH!M1206,2)="15"),TK!$E$7=TH!F1206),"x","")</f>
        <v/>
      </c>
      <c r="AA1206" s="55" t="str">
        <f>IF(AND(B1206&lt;=NKC!$N$8,B1206&gt;=NKC!$M$8),"x","")</f>
        <v/>
      </c>
    </row>
    <row r="1207" spans="1:29" ht="15.75" customHeight="1">
      <c r="A1207" s="219" t="str">
        <f>IF(B1207&lt;&gt;"",IF(AND(B1207&gt;=_TM1,B1207&lt;=_TM2,OR(TH!L1207="1111",TH!M1207="1111")),TH!D1207,""),"")</f>
        <v/>
      </c>
      <c r="B1207" s="36">
        <f t="shared" si="39"/>
        <v>7</v>
      </c>
      <c r="C1207" s="205">
        <f t="shared" si="53"/>
        <v>41096</v>
      </c>
      <c r="D1207" s="205"/>
      <c r="E1207" s="205">
        <v>41096</v>
      </c>
      <c r="F1207" s="206" t="s">
        <v>1185</v>
      </c>
      <c r="G1207" s="581" t="s">
        <v>1409</v>
      </c>
      <c r="H1207" s="7" t="s">
        <v>416</v>
      </c>
      <c r="I1207" s="277"/>
      <c r="J1207" s="277"/>
      <c r="K1207" s="38">
        <v>1322224</v>
      </c>
      <c r="L1207" s="208" t="s">
        <v>311</v>
      </c>
      <c r="M1207" s="208" t="s">
        <v>549</v>
      </c>
      <c r="N1207" s="55" t="str">
        <f>IF(AND('331-CT'!$E$7=TH!H1207,OR(L1207="331",M1207="331")),"x","")</f>
        <v/>
      </c>
      <c r="O1207" s="55" t="str">
        <f>IF(AND($B1207&gt;='111'!$N$11,$B1207&lt;='111'!$O$11,OR($L1207=$O$7,$M1207=$O$7)),"x","")</f>
        <v/>
      </c>
      <c r="P1207" s="55" t="str">
        <f>IF(AND($L1207=$O$7,$B1207&lt;'111'!$N$11),"x","")</f>
        <v/>
      </c>
      <c r="Q1207" s="55" t="str">
        <f>IF(AND($M1207=$O$7,$B1207&lt;'111'!$N$11),"x","")</f>
        <v/>
      </c>
      <c r="R1207" s="55" t="str">
        <f>IF(ISERROR(FIND('112'!$M$9,G1207,1)),"",IF((AND(FIND('112'!$M$9,G1207,1)&gt;=1,$B1207&gt;='112'!$N$8,$B1207&lt;='112'!$O$8,OR($L1207='112'!$I$6,$M1207='112'!$I$6))),"x",""))</f>
        <v/>
      </c>
      <c r="S1207" s="55" t="str">
        <f>IF(ISERROR(FIND('112'!$M$9,G1207,1)),"",IF((AND(LEFT(G1207,2)=LEFT('112'!$M$9,2),B1207&lt;'112'!$N$8,$L1207='112'!$I$6)),"x",""))</f>
        <v/>
      </c>
      <c r="T1207" s="55" t="str">
        <f>IF(ISERROR(FIND('112'!$M$9,G1207,1)),"",IF((AND(RIGHT(G1207,2)=RIGHT('112'!$M$9,2),B1207&lt;'112'!$N$8,$M1207='112'!$I$6)),"x",""))</f>
        <v/>
      </c>
      <c r="U1207" s="55" t="str">
        <f>IF(AND('3411-CT'!$F$9=H1207,OR(LEFT(L1207,3)=$U$7,LEFT(M1207,3)=$U$7)),"x","")</f>
        <v/>
      </c>
      <c r="V1207" s="55" t="str">
        <f>IF(OR(TH!L1207=TH!$V$7,M1207=TH!$V$7),"x","")</f>
        <v/>
      </c>
      <c r="W1207" s="55" t="str">
        <f>IF(AND(OR(L1207="131",M1207="131"),H1207='131-CT'!$E$7),"x","")</f>
        <v/>
      </c>
      <c r="X1207" s="55" t="str">
        <f>IF(AND(B1207&gt;='IN-NX'!$P$3,B1207&lt;='IN-NX'!$Q$3,'IN-NX'!$D$7=D1207,OR(LEFT(TH!L1207,2)="15",LEFT(TH!M1207,2)="15")),"x","")</f>
        <v/>
      </c>
      <c r="Y1207" s="55" t="str">
        <f>IF(AND(OR(LEFT(TH!L1207,2)="15",LEFT(TH!M1207,2)="15"),'152-CT'!$J$8=TH!F1207),"x","")</f>
        <v/>
      </c>
      <c r="Z1207" s="55" t="str">
        <f>IF(AND(OR(LEFT(TH!L1207,2)="15",LEFT(TH!M1207,2)="15"),TK!$E$7=TH!F1207),"x","")</f>
        <v/>
      </c>
      <c r="AA1207" s="55" t="str">
        <f>IF(AND(B1207&lt;=NKC!$N$8,B1207&gt;=NKC!$M$8),"x","")</f>
        <v/>
      </c>
      <c r="AC1207" s="226"/>
    </row>
    <row r="1208" spans="1:29" ht="15.75" customHeight="1">
      <c r="A1208" s="219" t="str">
        <f>IF(B1208&lt;&gt;"",IF(AND(B1208&gt;=_TM1,B1208&lt;=_TM2,OR(TH!L1208="1111",TH!M1208="1111")),TH!D1208,""),"")</f>
        <v/>
      </c>
      <c r="B1208" s="36">
        <f t="shared" si="39"/>
        <v>7</v>
      </c>
      <c r="C1208" s="205">
        <f t="shared" si="53"/>
        <v>41096</v>
      </c>
      <c r="D1208" s="205"/>
      <c r="E1208" s="205">
        <v>41096</v>
      </c>
      <c r="F1208" s="206" t="s">
        <v>1412</v>
      </c>
      <c r="G1208" s="581" t="s">
        <v>1413</v>
      </c>
      <c r="H1208" s="207" t="s">
        <v>1140</v>
      </c>
      <c r="I1208" s="277">
        <v>1107</v>
      </c>
      <c r="J1208" s="277">
        <v>6032</v>
      </c>
      <c r="K1208" s="38">
        <f t="shared" si="52"/>
        <v>6677424</v>
      </c>
      <c r="L1208" s="208" t="s">
        <v>311</v>
      </c>
      <c r="M1208" s="208" t="s">
        <v>208</v>
      </c>
      <c r="N1208" s="55" t="str">
        <f>IF(AND('331-CT'!$E$7=TH!H1208,OR(L1208="331",M1208="331")),"x","")</f>
        <v/>
      </c>
      <c r="O1208" s="55" t="str">
        <f>IF(AND($B1208&gt;='111'!$N$11,$B1208&lt;='111'!$O$11,OR($L1208=$O$7,$M1208=$O$7)),"x","")</f>
        <v/>
      </c>
      <c r="P1208" s="55" t="str">
        <f>IF(AND($L1208=$O$7,$B1208&lt;'111'!$N$11),"x","")</f>
        <v/>
      </c>
      <c r="Q1208" s="55" t="str">
        <f>IF(AND($M1208=$O$7,$B1208&lt;'111'!$N$11),"x","")</f>
        <v/>
      </c>
      <c r="R1208" s="55" t="str">
        <f>IF(ISERROR(FIND('112'!$M$9,G1208,1)),"",IF((AND(FIND('112'!$M$9,G1208,1)&gt;=1,$B1208&gt;='112'!$N$8,$B1208&lt;='112'!$O$8,OR($L1208='112'!$I$6,$M1208='112'!$I$6))),"x",""))</f>
        <v/>
      </c>
      <c r="S1208" s="55" t="str">
        <f>IF(ISERROR(FIND('112'!$M$9,G1208,1)),"",IF((AND(LEFT(G1208,2)=LEFT('112'!$M$9,2),B1208&lt;'112'!$N$8,$L1208='112'!$I$6)),"x",""))</f>
        <v/>
      </c>
      <c r="T1208" s="55" t="str">
        <f>IF(ISERROR(FIND('112'!$M$9,G1208,1)),"",IF((AND(RIGHT(G1208,2)=RIGHT('112'!$M$9,2),B1208&lt;'112'!$N$8,$M1208='112'!$I$6)),"x",""))</f>
        <v/>
      </c>
      <c r="U1208" s="55" t="str">
        <f>IF(AND('3411-CT'!$F$9=H1208,OR(LEFT(L1208,3)=$U$7,LEFT(M1208,3)=$U$7)),"x","")</f>
        <v/>
      </c>
      <c r="V1208" s="55" t="str">
        <f>IF(OR(TH!L1208=TH!$V$7,M1208=TH!$V$7),"x","")</f>
        <v/>
      </c>
      <c r="W1208" s="55" t="str">
        <f>IF(AND(OR(L1208="131",M1208="131"),H1208='131-CT'!$E$7),"x","")</f>
        <v/>
      </c>
      <c r="X1208" s="55" t="str">
        <f>IF(AND(B1208&gt;='IN-NX'!$P$3,B1208&lt;='IN-NX'!$Q$3,'IN-NX'!$D$7=D1208,OR(LEFT(TH!L1208,2)="15",LEFT(TH!M1208,2)="15")),"x","")</f>
        <v/>
      </c>
      <c r="Y1208" s="55" t="str">
        <f>IF(AND(OR(LEFT(TH!L1208,2)="15",LEFT(TH!M1208,2)="15"),'152-CT'!$J$8=TH!F1208),"x","")</f>
        <v/>
      </c>
      <c r="Z1208" s="55" t="str">
        <f>IF(AND(OR(LEFT(TH!L1208,2)="15",LEFT(TH!M1208,2)="15"),TK!$E$7=TH!F1208),"x","")</f>
        <v/>
      </c>
      <c r="AA1208" s="55" t="str">
        <f>IF(AND(B1208&lt;=NKC!$N$8,B1208&gt;=NKC!$M$8),"x","")</f>
        <v/>
      </c>
    </row>
    <row r="1209" spans="1:29" ht="15.75" customHeight="1">
      <c r="A1209" s="219" t="str">
        <f>IF(B1209&lt;&gt;"",IF(AND(B1209&gt;=_TM1,B1209&lt;=_TM2,OR(TH!L1209="1111",TH!M1209="1111")),TH!D1209,""),"")</f>
        <v/>
      </c>
      <c r="B1209" s="36">
        <f t="shared" si="39"/>
        <v>7</v>
      </c>
      <c r="C1209" s="205">
        <f t="shared" si="53"/>
        <v>41096</v>
      </c>
      <c r="D1209" s="205"/>
      <c r="E1209" s="205">
        <v>41096</v>
      </c>
      <c r="F1209" s="206" t="s">
        <v>1185</v>
      </c>
      <c r="G1209" s="581" t="s">
        <v>1413</v>
      </c>
      <c r="H1209" s="207" t="s">
        <v>1140</v>
      </c>
      <c r="I1209" s="277"/>
      <c r="J1209" s="277"/>
      <c r="K1209" s="38">
        <v>667742</v>
      </c>
      <c r="L1209" s="208" t="s">
        <v>311</v>
      </c>
      <c r="M1209" s="208" t="s">
        <v>549</v>
      </c>
      <c r="N1209" s="55" t="str">
        <f>IF(AND('331-CT'!$E$7=TH!H1209,OR(L1209="331",M1209="331")),"x","")</f>
        <v/>
      </c>
      <c r="O1209" s="55" t="str">
        <f>IF(AND($B1209&gt;='111'!$N$11,$B1209&lt;='111'!$O$11,OR($L1209=$O$7,$M1209=$O$7)),"x","")</f>
        <v/>
      </c>
      <c r="P1209" s="55" t="str">
        <f>IF(AND($L1209=$O$7,$B1209&lt;'111'!$N$11),"x","")</f>
        <v/>
      </c>
      <c r="Q1209" s="55" t="str">
        <f>IF(AND($M1209=$O$7,$B1209&lt;'111'!$N$11),"x","")</f>
        <v/>
      </c>
      <c r="R1209" s="55" t="str">
        <f>IF(ISERROR(FIND('112'!$M$9,G1209,1)),"",IF((AND(FIND('112'!$M$9,G1209,1)&gt;=1,$B1209&gt;='112'!$N$8,$B1209&lt;='112'!$O$8,OR($L1209='112'!$I$6,$M1209='112'!$I$6))),"x",""))</f>
        <v/>
      </c>
      <c r="S1209" s="55" t="str">
        <f>IF(ISERROR(FIND('112'!$M$9,G1209,1)),"",IF((AND(LEFT(G1209,2)=LEFT('112'!$M$9,2),B1209&lt;'112'!$N$8,$L1209='112'!$I$6)),"x",""))</f>
        <v/>
      </c>
      <c r="T1209" s="55" t="str">
        <f>IF(ISERROR(FIND('112'!$M$9,G1209,1)),"",IF((AND(RIGHT(G1209,2)=RIGHT('112'!$M$9,2),B1209&lt;'112'!$N$8,$M1209='112'!$I$6)),"x",""))</f>
        <v/>
      </c>
      <c r="U1209" s="55" t="str">
        <f>IF(AND('3411-CT'!$F$9=H1209,OR(LEFT(L1209,3)=$U$7,LEFT(M1209,3)=$U$7)),"x","")</f>
        <v/>
      </c>
      <c r="V1209" s="55" t="str">
        <f>IF(OR(TH!L1209=TH!$V$7,M1209=TH!$V$7),"x","")</f>
        <v/>
      </c>
      <c r="W1209" s="55" t="str">
        <f>IF(AND(OR(L1209="131",M1209="131"),H1209='131-CT'!$E$7),"x","")</f>
        <v/>
      </c>
      <c r="X1209" s="55" t="str">
        <f>IF(AND(B1209&gt;='IN-NX'!$P$3,B1209&lt;='IN-NX'!$Q$3,'IN-NX'!$D$7=D1209,OR(LEFT(TH!L1209,2)="15",LEFT(TH!M1209,2)="15")),"x","")</f>
        <v/>
      </c>
      <c r="Y1209" s="55" t="str">
        <f>IF(AND(OR(LEFT(TH!L1209,2)="15",LEFT(TH!M1209,2)="15"),'152-CT'!$J$8=TH!F1209),"x","")</f>
        <v/>
      </c>
      <c r="Z1209" s="55" t="str">
        <f>IF(AND(OR(LEFT(TH!L1209,2)="15",LEFT(TH!M1209,2)="15"),TK!$E$7=TH!F1209),"x","")</f>
        <v/>
      </c>
      <c r="AA1209" s="55" t="str">
        <f>IF(AND(B1209&lt;=NKC!$N$8,B1209&gt;=NKC!$M$8),"x","")</f>
        <v/>
      </c>
      <c r="AC1209" s="226"/>
    </row>
    <row r="1210" spans="1:29" ht="15.75" customHeight="1">
      <c r="A1210" s="219" t="str">
        <f>IF(B1210&lt;&gt;"",IF(AND(B1210&gt;=_TM1,B1210&lt;=_TM2,OR(TH!L1210="1111",TH!M1210="1111")),TH!D1210,""),"")</f>
        <v/>
      </c>
      <c r="B1210" s="36">
        <f t="shared" si="39"/>
        <v>7</v>
      </c>
      <c r="C1210" s="205">
        <f t="shared" si="53"/>
        <v>41104</v>
      </c>
      <c r="D1210" s="205"/>
      <c r="E1210" s="205">
        <v>41104</v>
      </c>
      <c r="F1210" s="206" t="s">
        <v>1414</v>
      </c>
      <c r="G1210" s="581" t="s">
        <v>1415</v>
      </c>
      <c r="H1210" s="207" t="s">
        <v>1313</v>
      </c>
      <c r="I1210" s="277">
        <v>1012</v>
      </c>
      <c r="J1210" s="277">
        <v>6200</v>
      </c>
      <c r="K1210" s="38">
        <f t="shared" si="52"/>
        <v>6274400</v>
      </c>
      <c r="L1210" s="208" t="s">
        <v>49</v>
      </c>
      <c r="M1210" s="208" t="s">
        <v>208</v>
      </c>
      <c r="N1210" s="55" t="str">
        <f>IF(AND('331-CT'!$E$7=TH!H1210,OR(L1210="331",M1210="331")),"x","")</f>
        <v/>
      </c>
      <c r="O1210" s="55" t="str">
        <f>IF(AND($B1210&gt;='111'!$N$11,$B1210&lt;='111'!$O$11,OR($L1210=$O$7,$M1210=$O$7)),"x","")</f>
        <v/>
      </c>
      <c r="P1210" s="55" t="str">
        <f>IF(AND($L1210=$O$7,$B1210&lt;'111'!$N$11),"x","")</f>
        <v>x</v>
      </c>
      <c r="Q1210" s="55" t="str">
        <f>IF(AND($M1210=$O$7,$B1210&lt;'111'!$N$11),"x","")</f>
        <v/>
      </c>
      <c r="R1210" s="55" t="str">
        <f>IF(ISERROR(FIND('112'!$M$9,G1210,1)),"",IF((AND(FIND('112'!$M$9,G1210,1)&gt;=1,$B1210&gt;='112'!$N$8,$B1210&lt;='112'!$O$8,OR($L1210='112'!$I$6,$M1210='112'!$I$6))),"x",""))</f>
        <v/>
      </c>
      <c r="S1210" s="55" t="str">
        <f>IF(ISERROR(FIND('112'!$M$9,G1210,1)),"",IF((AND(LEFT(G1210,2)=LEFT('112'!$M$9,2),B1210&lt;'112'!$N$8,$L1210='112'!$I$6)),"x",""))</f>
        <v/>
      </c>
      <c r="T1210" s="55" t="str">
        <f>IF(ISERROR(FIND('112'!$M$9,G1210,1)),"",IF((AND(RIGHT(G1210,2)=RIGHT('112'!$M$9,2),B1210&lt;'112'!$N$8,$M1210='112'!$I$6)),"x",""))</f>
        <v/>
      </c>
      <c r="U1210" s="55" t="str">
        <f>IF(AND('3411-CT'!$F$9=H1210,OR(LEFT(L1210,3)=$U$7,LEFT(M1210,3)=$U$7)),"x","")</f>
        <v/>
      </c>
      <c r="V1210" s="55" t="str">
        <f>IF(OR(TH!L1210=TH!$V$7,M1210=TH!$V$7),"x","")</f>
        <v/>
      </c>
      <c r="W1210" s="55" t="str">
        <f>IF(AND(OR(L1210="131",M1210="131"),H1210='131-CT'!$E$7),"x","")</f>
        <v/>
      </c>
      <c r="X1210" s="55" t="str">
        <f>IF(AND(B1210&gt;='IN-NX'!$P$3,B1210&lt;='IN-NX'!$Q$3,'IN-NX'!$D$7=D1210,OR(LEFT(TH!L1210,2)="15",LEFT(TH!M1210,2)="15")),"x","")</f>
        <v/>
      </c>
      <c r="Y1210" s="55" t="str">
        <f>IF(AND(OR(LEFT(TH!L1210,2)="15",LEFT(TH!M1210,2)="15"),'152-CT'!$J$8=TH!F1210),"x","")</f>
        <v/>
      </c>
      <c r="Z1210" s="55" t="str">
        <f>IF(AND(OR(LEFT(TH!L1210,2)="15",LEFT(TH!M1210,2)="15"),TK!$E$7=TH!F1210),"x","")</f>
        <v/>
      </c>
      <c r="AA1210" s="55" t="str">
        <f>IF(AND(B1210&lt;=NKC!$N$8,B1210&gt;=NKC!$M$8),"x","")</f>
        <v/>
      </c>
    </row>
    <row r="1211" spans="1:29" ht="15.75" customHeight="1">
      <c r="A1211" s="219" t="str">
        <f>IF(B1211&lt;&gt;"",IF(AND(B1211&gt;=_TM1,B1211&lt;=_TM2,OR(TH!L1211="1111",TH!M1211="1111")),TH!D1211,""),"")</f>
        <v/>
      </c>
      <c r="B1211" s="36">
        <f t="shared" si="39"/>
        <v>7</v>
      </c>
      <c r="C1211" s="205">
        <f t="shared" si="53"/>
        <v>41104</v>
      </c>
      <c r="D1211" s="205"/>
      <c r="E1211" s="205">
        <v>41104</v>
      </c>
      <c r="F1211" s="206" t="s">
        <v>1185</v>
      </c>
      <c r="G1211" s="581" t="s">
        <v>1415</v>
      </c>
      <c r="H1211" s="207" t="s">
        <v>1313</v>
      </c>
      <c r="I1211" s="277"/>
      <c r="J1211" s="277"/>
      <c r="K1211" s="38">
        <v>627440</v>
      </c>
      <c r="L1211" s="208" t="s">
        <v>49</v>
      </c>
      <c r="M1211" s="208" t="s">
        <v>549</v>
      </c>
      <c r="N1211" s="55" t="str">
        <f>IF(AND('331-CT'!$E$7=TH!H1211,OR(L1211="331",M1211="331")),"x","")</f>
        <v/>
      </c>
      <c r="O1211" s="55" t="str">
        <f>IF(AND($B1211&gt;='111'!$N$11,$B1211&lt;='111'!$O$11,OR($L1211=$O$7,$M1211=$O$7)),"x","")</f>
        <v/>
      </c>
      <c r="P1211" s="55" t="str">
        <f>IF(AND($L1211=$O$7,$B1211&lt;'111'!$N$11),"x","")</f>
        <v>x</v>
      </c>
      <c r="Q1211" s="55" t="str">
        <f>IF(AND($M1211=$O$7,$B1211&lt;'111'!$N$11),"x","")</f>
        <v/>
      </c>
      <c r="R1211" s="55" t="str">
        <f>IF(ISERROR(FIND('112'!$M$9,G1211,1)),"",IF((AND(FIND('112'!$M$9,G1211,1)&gt;=1,$B1211&gt;='112'!$N$8,$B1211&lt;='112'!$O$8,OR($L1211='112'!$I$6,$M1211='112'!$I$6))),"x",""))</f>
        <v/>
      </c>
      <c r="S1211" s="55" t="str">
        <f>IF(ISERROR(FIND('112'!$M$9,G1211,1)),"",IF((AND(LEFT(G1211,2)=LEFT('112'!$M$9,2),B1211&lt;'112'!$N$8,$L1211='112'!$I$6)),"x",""))</f>
        <v/>
      </c>
      <c r="T1211" s="55" t="str">
        <f>IF(ISERROR(FIND('112'!$M$9,G1211,1)),"",IF((AND(RIGHT(G1211,2)=RIGHT('112'!$M$9,2),B1211&lt;'112'!$N$8,$M1211='112'!$I$6)),"x",""))</f>
        <v/>
      </c>
      <c r="U1211" s="55" t="str">
        <f>IF(AND('3411-CT'!$F$9=H1211,OR(LEFT(L1211,3)=$U$7,LEFT(M1211,3)=$U$7)),"x","")</f>
        <v/>
      </c>
      <c r="V1211" s="55" t="str">
        <f>IF(OR(TH!L1211=TH!$V$7,M1211=TH!$V$7),"x","")</f>
        <v/>
      </c>
      <c r="W1211" s="55" t="str">
        <f>IF(AND(OR(L1211="131",M1211="131"),H1211='131-CT'!$E$7),"x","")</f>
        <v/>
      </c>
      <c r="X1211" s="55" t="str">
        <f>IF(AND(B1211&gt;='IN-NX'!$P$3,B1211&lt;='IN-NX'!$Q$3,'IN-NX'!$D$7=D1211,OR(LEFT(TH!L1211,2)="15",LEFT(TH!M1211,2)="15")),"x","")</f>
        <v/>
      </c>
      <c r="Y1211" s="55" t="str">
        <f>IF(AND(OR(LEFT(TH!L1211,2)="15",LEFT(TH!M1211,2)="15"),'152-CT'!$J$8=TH!F1211),"x","")</f>
        <v/>
      </c>
      <c r="Z1211" s="55" t="str">
        <f>IF(AND(OR(LEFT(TH!L1211,2)="15",LEFT(TH!M1211,2)="15"),TK!$E$7=TH!F1211),"x","")</f>
        <v/>
      </c>
      <c r="AA1211" s="55" t="str">
        <f>IF(AND(B1211&lt;=NKC!$N$8,B1211&gt;=NKC!$M$8),"x","")</f>
        <v/>
      </c>
      <c r="AC1211" s="226"/>
    </row>
    <row r="1212" spans="1:29" ht="15.75" customHeight="1">
      <c r="A1212" s="219" t="str">
        <f>IF(B1212&lt;&gt;"",IF(AND(B1212&gt;=_TM1,B1212&lt;=_TM2,OR(TH!L1212="1111",TH!M1212="1111")),TH!D1212,""),"")</f>
        <v/>
      </c>
      <c r="B1212" s="36">
        <f t="shared" si="39"/>
        <v>7</v>
      </c>
      <c r="C1212" s="205">
        <f t="shared" si="53"/>
        <v>41104</v>
      </c>
      <c r="D1212" s="205"/>
      <c r="E1212" s="205">
        <v>41104</v>
      </c>
      <c r="F1212" s="206" t="s">
        <v>1416</v>
      </c>
      <c r="G1212" s="581" t="s">
        <v>892</v>
      </c>
      <c r="H1212" s="45" t="s">
        <v>1136</v>
      </c>
      <c r="I1212" s="277">
        <v>136</v>
      </c>
      <c r="J1212" s="277">
        <v>37800</v>
      </c>
      <c r="K1212" s="38">
        <f t="shared" si="52"/>
        <v>5140800</v>
      </c>
      <c r="L1212" s="208" t="s">
        <v>311</v>
      </c>
      <c r="M1212" s="208" t="s">
        <v>208</v>
      </c>
      <c r="N1212" s="55" t="str">
        <f>IF(AND('331-CT'!$E$7=TH!H1212,OR(L1212="331",M1212="331")),"x","")</f>
        <v/>
      </c>
      <c r="O1212" s="55" t="str">
        <f>IF(AND($B1212&gt;='111'!$N$11,$B1212&lt;='111'!$O$11,OR($L1212=$O$7,$M1212=$O$7)),"x","")</f>
        <v/>
      </c>
      <c r="P1212" s="55" t="str">
        <f>IF(AND($L1212=$O$7,$B1212&lt;'111'!$N$11),"x","")</f>
        <v/>
      </c>
      <c r="Q1212" s="55" t="str">
        <f>IF(AND($M1212=$O$7,$B1212&lt;'111'!$N$11),"x","")</f>
        <v/>
      </c>
      <c r="R1212" s="55" t="str">
        <f>IF(ISERROR(FIND('112'!$M$9,G1212,1)),"",IF((AND(FIND('112'!$M$9,G1212,1)&gt;=1,$B1212&gt;='112'!$N$8,$B1212&lt;='112'!$O$8,OR($L1212='112'!$I$6,$M1212='112'!$I$6))),"x",""))</f>
        <v/>
      </c>
      <c r="S1212" s="55" t="str">
        <f>IF(ISERROR(FIND('112'!$M$9,G1212,1)),"",IF((AND(LEFT(G1212,2)=LEFT('112'!$M$9,2),B1212&lt;'112'!$N$8,$L1212='112'!$I$6)),"x",""))</f>
        <v/>
      </c>
      <c r="T1212" s="55" t="str">
        <f>IF(ISERROR(FIND('112'!$M$9,G1212,1)),"",IF((AND(RIGHT(G1212,2)=RIGHT('112'!$M$9,2),B1212&lt;'112'!$N$8,$M1212='112'!$I$6)),"x",""))</f>
        <v/>
      </c>
      <c r="U1212" s="55" t="str">
        <f>IF(AND('3411-CT'!$F$9=H1212,OR(LEFT(L1212,3)=$U$7,LEFT(M1212,3)=$U$7)),"x","")</f>
        <v/>
      </c>
      <c r="V1212" s="55" t="str">
        <f>IF(OR(TH!L1212=TH!$V$7,M1212=TH!$V$7),"x","")</f>
        <v/>
      </c>
      <c r="W1212" s="55" t="str">
        <f>IF(AND(OR(L1212="131",M1212="131"),H1212='131-CT'!$E$7),"x","")</f>
        <v/>
      </c>
      <c r="X1212" s="55" t="str">
        <f>IF(AND(B1212&gt;='IN-NX'!$P$3,B1212&lt;='IN-NX'!$Q$3,'IN-NX'!$D$7=D1212,OR(LEFT(TH!L1212,2)="15",LEFT(TH!M1212,2)="15")),"x","")</f>
        <v/>
      </c>
      <c r="Y1212" s="55" t="str">
        <f>IF(AND(OR(LEFT(TH!L1212,2)="15",LEFT(TH!M1212,2)="15"),'152-CT'!$J$8=TH!F1212),"x","")</f>
        <v/>
      </c>
      <c r="Z1212" s="55" t="str">
        <f>IF(AND(OR(LEFT(TH!L1212,2)="15",LEFT(TH!M1212,2)="15"),TK!$E$7=TH!F1212),"x","")</f>
        <v/>
      </c>
      <c r="AA1212" s="55" t="str">
        <f>IF(AND(B1212&lt;=NKC!$N$8,B1212&gt;=NKC!$M$8),"x","")</f>
        <v/>
      </c>
    </row>
    <row r="1213" spans="1:29" ht="15.75" customHeight="1">
      <c r="A1213" s="219" t="str">
        <f>IF(B1213&lt;&gt;"",IF(AND(B1213&gt;=_TM1,B1213&lt;=_TM2,OR(TH!L1213="1111",TH!M1213="1111")),TH!D1213,""),"")</f>
        <v/>
      </c>
      <c r="B1213" s="36">
        <f t="shared" si="39"/>
        <v>7</v>
      </c>
      <c r="C1213" s="205">
        <f t="shared" si="53"/>
        <v>41104</v>
      </c>
      <c r="D1213" s="205"/>
      <c r="E1213" s="205">
        <v>41104</v>
      </c>
      <c r="F1213" s="206" t="s">
        <v>1271</v>
      </c>
      <c r="G1213" s="581" t="s">
        <v>892</v>
      </c>
      <c r="H1213" s="45" t="s">
        <v>1136</v>
      </c>
      <c r="I1213" s="277">
        <v>47</v>
      </c>
      <c r="J1213" s="277">
        <v>47000</v>
      </c>
      <c r="K1213" s="38">
        <f t="shared" si="52"/>
        <v>2209000</v>
      </c>
      <c r="L1213" s="208" t="s">
        <v>311</v>
      </c>
      <c r="M1213" s="208" t="s">
        <v>208</v>
      </c>
      <c r="N1213" s="55" t="str">
        <f>IF(AND('331-CT'!$E$7=TH!H1213,OR(L1213="331",M1213="331")),"x","")</f>
        <v/>
      </c>
      <c r="O1213" s="55" t="str">
        <f>IF(AND($B1213&gt;='111'!$N$11,$B1213&lt;='111'!$O$11,OR($L1213=$O$7,$M1213=$O$7)),"x","")</f>
        <v/>
      </c>
      <c r="P1213" s="55" t="str">
        <f>IF(AND($L1213=$O$7,$B1213&lt;'111'!$N$11),"x","")</f>
        <v/>
      </c>
      <c r="Q1213" s="55" t="str">
        <f>IF(AND($M1213=$O$7,$B1213&lt;'111'!$N$11),"x","")</f>
        <v/>
      </c>
      <c r="R1213" s="55" t="str">
        <f>IF(ISERROR(FIND('112'!$M$9,G1213,1)),"",IF((AND(FIND('112'!$M$9,G1213,1)&gt;=1,$B1213&gt;='112'!$N$8,$B1213&lt;='112'!$O$8,OR($L1213='112'!$I$6,$M1213='112'!$I$6))),"x",""))</f>
        <v/>
      </c>
      <c r="S1213" s="55" t="str">
        <f>IF(ISERROR(FIND('112'!$M$9,G1213,1)),"",IF((AND(LEFT(G1213,2)=LEFT('112'!$M$9,2),B1213&lt;'112'!$N$8,$L1213='112'!$I$6)),"x",""))</f>
        <v/>
      </c>
      <c r="T1213" s="55" t="str">
        <f>IF(ISERROR(FIND('112'!$M$9,G1213,1)),"",IF((AND(RIGHT(G1213,2)=RIGHT('112'!$M$9,2),B1213&lt;'112'!$N$8,$M1213='112'!$I$6)),"x",""))</f>
        <v/>
      </c>
      <c r="U1213" s="55" t="str">
        <f>IF(AND('3411-CT'!$F$9=H1213,OR(LEFT(L1213,3)=$U$7,LEFT(M1213,3)=$U$7)),"x","")</f>
        <v/>
      </c>
      <c r="V1213" s="55" t="str">
        <f>IF(OR(TH!L1213=TH!$V$7,M1213=TH!$V$7),"x","")</f>
        <v/>
      </c>
      <c r="W1213" s="55" t="str">
        <f>IF(AND(OR(L1213="131",M1213="131"),H1213='131-CT'!$E$7),"x","")</f>
        <v/>
      </c>
      <c r="X1213" s="55" t="str">
        <f>IF(AND(B1213&gt;='IN-NX'!$P$3,B1213&lt;='IN-NX'!$Q$3,'IN-NX'!$D$7=D1213,OR(LEFT(TH!L1213,2)="15",LEFT(TH!M1213,2)="15")),"x","")</f>
        <v/>
      </c>
      <c r="Y1213" s="55" t="str">
        <f>IF(AND(OR(LEFT(TH!L1213,2)="15",LEFT(TH!M1213,2)="15"),'152-CT'!$J$8=TH!F1213),"x","")</f>
        <v/>
      </c>
      <c r="Z1213" s="55" t="str">
        <f>IF(AND(OR(LEFT(TH!L1213,2)="15",LEFT(TH!M1213,2)="15"),TK!$E$7=TH!F1213),"x","")</f>
        <v/>
      </c>
      <c r="AA1213" s="55" t="str">
        <f>IF(AND(B1213&lt;=NKC!$N$8,B1213&gt;=NKC!$M$8),"x","")</f>
        <v/>
      </c>
    </row>
    <row r="1214" spans="1:29" ht="15.75" customHeight="1">
      <c r="A1214" s="219" t="str">
        <f>IF(B1214&lt;&gt;"",IF(AND(B1214&gt;=_TM1,B1214&lt;=_TM2,OR(TH!L1214="1111",TH!M1214="1111")),TH!D1214,""),"")</f>
        <v/>
      </c>
      <c r="B1214" s="36">
        <f t="shared" si="39"/>
        <v>7</v>
      </c>
      <c r="C1214" s="205">
        <f t="shared" si="53"/>
        <v>41104</v>
      </c>
      <c r="D1214" s="205"/>
      <c r="E1214" s="205">
        <v>41104</v>
      </c>
      <c r="F1214" s="206" t="s">
        <v>1185</v>
      </c>
      <c r="G1214" s="581" t="s">
        <v>892</v>
      </c>
      <c r="H1214" s="45" t="s">
        <v>1136</v>
      </c>
      <c r="I1214" s="277"/>
      <c r="J1214" s="277"/>
      <c r="K1214" s="38">
        <v>734980</v>
      </c>
      <c r="L1214" s="208" t="s">
        <v>311</v>
      </c>
      <c r="M1214" s="208" t="s">
        <v>549</v>
      </c>
      <c r="N1214" s="55" t="str">
        <f>IF(AND('331-CT'!$E$7=TH!H1214,OR(L1214="331",M1214="331")),"x","")</f>
        <v/>
      </c>
      <c r="O1214" s="55" t="str">
        <f>IF(AND($B1214&gt;='111'!$N$11,$B1214&lt;='111'!$O$11,OR($L1214=$O$7,$M1214=$O$7)),"x","")</f>
        <v/>
      </c>
      <c r="P1214" s="55" t="str">
        <f>IF(AND($L1214=$O$7,$B1214&lt;'111'!$N$11),"x","")</f>
        <v/>
      </c>
      <c r="Q1214" s="55" t="str">
        <f>IF(AND($M1214=$O$7,$B1214&lt;'111'!$N$11),"x","")</f>
        <v/>
      </c>
      <c r="R1214" s="55" t="str">
        <f>IF(ISERROR(FIND('112'!$M$9,G1214,1)),"",IF((AND(FIND('112'!$M$9,G1214,1)&gt;=1,$B1214&gt;='112'!$N$8,$B1214&lt;='112'!$O$8,OR($L1214='112'!$I$6,$M1214='112'!$I$6))),"x",""))</f>
        <v/>
      </c>
      <c r="S1214" s="55" t="str">
        <f>IF(ISERROR(FIND('112'!$M$9,G1214,1)),"",IF((AND(LEFT(G1214,2)=LEFT('112'!$M$9,2),B1214&lt;'112'!$N$8,$L1214='112'!$I$6)),"x",""))</f>
        <v/>
      </c>
      <c r="T1214" s="55" t="str">
        <f>IF(ISERROR(FIND('112'!$M$9,G1214,1)),"",IF((AND(RIGHT(G1214,2)=RIGHT('112'!$M$9,2),B1214&lt;'112'!$N$8,$M1214='112'!$I$6)),"x",""))</f>
        <v/>
      </c>
      <c r="U1214" s="55" t="str">
        <f>IF(AND('3411-CT'!$F$9=H1214,OR(LEFT(L1214,3)=$U$7,LEFT(M1214,3)=$U$7)),"x","")</f>
        <v/>
      </c>
      <c r="V1214" s="55" t="str">
        <f>IF(OR(TH!L1214=TH!$V$7,M1214=TH!$V$7),"x","")</f>
        <v/>
      </c>
      <c r="W1214" s="55" t="str">
        <f>IF(AND(OR(L1214="131",M1214="131"),H1214='131-CT'!$E$7),"x","")</f>
        <v/>
      </c>
      <c r="X1214" s="55" t="str">
        <f>IF(AND(B1214&gt;='IN-NX'!$P$3,B1214&lt;='IN-NX'!$Q$3,'IN-NX'!$D$7=D1214,OR(LEFT(TH!L1214,2)="15",LEFT(TH!M1214,2)="15")),"x","")</f>
        <v/>
      </c>
      <c r="Y1214" s="55" t="str">
        <f>IF(AND(OR(LEFT(TH!L1214,2)="15",LEFT(TH!M1214,2)="15"),'152-CT'!$J$8=TH!F1214),"x","")</f>
        <v/>
      </c>
      <c r="Z1214" s="55" t="str">
        <f>IF(AND(OR(LEFT(TH!L1214,2)="15",LEFT(TH!M1214,2)="15"),TK!$E$7=TH!F1214),"x","")</f>
        <v/>
      </c>
      <c r="AA1214" s="55" t="str">
        <f>IF(AND(B1214&lt;=NKC!$N$8,B1214&gt;=NKC!$M$8),"x","")</f>
        <v/>
      </c>
      <c r="AC1214" s="226"/>
    </row>
    <row r="1215" spans="1:29" ht="15.75" customHeight="1">
      <c r="A1215" s="219" t="str">
        <f>IF(B1215&lt;&gt;"",IF(AND(B1215&gt;=_TM1,B1215&lt;=_TM2,OR(TH!L1215="1111",TH!M1215="1111")),TH!D1215,""),"")</f>
        <v/>
      </c>
      <c r="B1215" s="36">
        <f t="shared" si="39"/>
        <v>7</v>
      </c>
      <c r="C1215" s="205">
        <f t="shared" si="53"/>
        <v>41104</v>
      </c>
      <c r="D1215" s="205"/>
      <c r="E1215" s="205">
        <v>41104</v>
      </c>
      <c r="F1215" s="206" t="s">
        <v>1417</v>
      </c>
      <c r="G1215" s="581" t="s">
        <v>1418</v>
      </c>
      <c r="H1215" s="207" t="s">
        <v>1207</v>
      </c>
      <c r="I1215" s="277">
        <v>342</v>
      </c>
      <c r="J1215" s="277">
        <v>6330</v>
      </c>
      <c r="K1215" s="38">
        <f t="shared" si="52"/>
        <v>2164860</v>
      </c>
      <c r="L1215" s="208" t="s">
        <v>49</v>
      </c>
      <c r="M1215" s="208" t="s">
        <v>208</v>
      </c>
      <c r="N1215" s="55" t="str">
        <f>IF(AND('331-CT'!$E$7=TH!H1215,OR(L1215="331",M1215="331")),"x","")</f>
        <v/>
      </c>
      <c r="O1215" s="55" t="str">
        <f>IF(AND($B1215&gt;='111'!$N$11,$B1215&lt;='111'!$O$11,OR($L1215=$O$7,$M1215=$O$7)),"x","")</f>
        <v/>
      </c>
      <c r="P1215" s="55" t="str">
        <f>IF(AND($L1215=$O$7,$B1215&lt;'111'!$N$11),"x","")</f>
        <v>x</v>
      </c>
      <c r="Q1215" s="55" t="str">
        <f>IF(AND($M1215=$O$7,$B1215&lt;'111'!$N$11),"x","")</f>
        <v/>
      </c>
      <c r="R1215" s="55" t="str">
        <f>IF(ISERROR(FIND('112'!$M$9,G1215,1)),"",IF((AND(FIND('112'!$M$9,G1215,1)&gt;=1,$B1215&gt;='112'!$N$8,$B1215&lt;='112'!$O$8,OR($L1215='112'!$I$6,$M1215='112'!$I$6))),"x",""))</f>
        <v/>
      </c>
      <c r="S1215" s="55" t="str">
        <f>IF(ISERROR(FIND('112'!$M$9,G1215,1)),"",IF((AND(LEFT(G1215,2)=LEFT('112'!$M$9,2),B1215&lt;'112'!$N$8,$L1215='112'!$I$6)),"x",""))</f>
        <v/>
      </c>
      <c r="T1215" s="55" t="str">
        <f>IF(ISERROR(FIND('112'!$M$9,G1215,1)),"",IF((AND(RIGHT(G1215,2)=RIGHT('112'!$M$9,2),B1215&lt;'112'!$N$8,$M1215='112'!$I$6)),"x",""))</f>
        <v/>
      </c>
      <c r="U1215" s="55" t="str">
        <f>IF(AND('3411-CT'!$F$9=H1215,OR(LEFT(L1215,3)=$U$7,LEFT(M1215,3)=$U$7)),"x","")</f>
        <v/>
      </c>
      <c r="V1215" s="55" t="str">
        <f>IF(OR(TH!L1215=TH!$V$7,M1215=TH!$V$7),"x","")</f>
        <v/>
      </c>
      <c r="W1215" s="55" t="str">
        <f>IF(AND(OR(L1215="131",M1215="131"),H1215='131-CT'!$E$7),"x","")</f>
        <v/>
      </c>
      <c r="X1215" s="55" t="str">
        <f>IF(AND(B1215&gt;='IN-NX'!$P$3,B1215&lt;='IN-NX'!$Q$3,'IN-NX'!$D$7=D1215,OR(LEFT(TH!L1215,2)="15",LEFT(TH!M1215,2)="15")),"x","")</f>
        <v/>
      </c>
      <c r="Y1215" s="55" t="str">
        <f>IF(AND(OR(LEFT(TH!L1215,2)="15",LEFT(TH!M1215,2)="15"),'152-CT'!$J$8=TH!F1215),"x","")</f>
        <v/>
      </c>
      <c r="Z1215" s="55" t="str">
        <f>IF(AND(OR(LEFT(TH!L1215,2)="15",LEFT(TH!M1215,2)="15"),TK!$E$7=TH!F1215),"x","")</f>
        <v/>
      </c>
      <c r="AA1215" s="55" t="str">
        <f>IF(AND(B1215&lt;=NKC!$N$8,B1215&gt;=NKC!$M$8),"x","")</f>
        <v/>
      </c>
    </row>
    <row r="1216" spans="1:29" ht="15.75" customHeight="1">
      <c r="A1216" s="219" t="str">
        <f>IF(B1216&lt;&gt;"",IF(AND(B1216&gt;=_TM1,B1216&lt;=_TM2,OR(TH!L1216="1111",TH!M1216="1111")),TH!D1216,""),"")</f>
        <v/>
      </c>
      <c r="B1216" s="36">
        <f t="shared" si="39"/>
        <v>7</v>
      </c>
      <c r="C1216" s="205">
        <f t="shared" si="53"/>
        <v>41104</v>
      </c>
      <c r="D1216" s="205"/>
      <c r="E1216" s="205">
        <v>41104</v>
      </c>
      <c r="F1216" s="206" t="s">
        <v>1228</v>
      </c>
      <c r="G1216" s="581" t="s">
        <v>1418</v>
      </c>
      <c r="H1216" s="207" t="s">
        <v>1207</v>
      </c>
      <c r="I1216" s="277">
        <v>105</v>
      </c>
      <c r="J1216" s="277">
        <v>9090</v>
      </c>
      <c r="K1216" s="38">
        <f t="shared" si="52"/>
        <v>954450</v>
      </c>
      <c r="L1216" s="208" t="s">
        <v>49</v>
      </c>
      <c r="M1216" s="208" t="s">
        <v>208</v>
      </c>
      <c r="N1216" s="55" t="str">
        <f>IF(AND('331-CT'!$E$7=TH!H1216,OR(L1216="331",M1216="331")),"x","")</f>
        <v/>
      </c>
      <c r="O1216" s="55" t="str">
        <f>IF(AND($B1216&gt;='111'!$N$11,$B1216&lt;='111'!$O$11,OR($L1216=$O$7,$M1216=$O$7)),"x","")</f>
        <v/>
      </c>
      <c r="P1216" s="55" t="str">
        <f>IF(AND($L1216=$O$7,$B1216&lt;'111'!$N$11),"x","")</f>
        <v>x</v>
      </c>
      <c r="Q1216" s="55" t="str">
        <f>IF(AND($M1216=$O$7,$B1216&lt;'111'!$N$11),"x","")</f>
        <v/>
      </c>
      <c r="R1216" s="55" t="str">
        <f>IF(ISERROR(FIND('112'!$M$9,G1216,1)),"",IF((AND(FIND('112'!$M$9,G1216,1)&gt;=1,$B1216&gt;='112'!$N$8,$B1216&lt;='112'!$O$8,OR($L1216='112'!$I$6,$M1216='112'!$I$6))),"x",""))</f>
        <v/>
      </c>
      <c r="S1216" s="55" t="str">
        <f>IF(ISERROR(FIND('112'!$M$9,G1216,1)),"",IF((AND(LEFT(G1216,2)=LEFT('112'!$M$9,2),B1216&lt;'112'!$N$8,$L1216='112'!$I$6)),"x",""))</f>
        <v/>
      </c>
      <c r="T1216" s="55" t="str">
        <f>IF(ISERROR(FIND('112'!$M$9,G1216,1)),"",IF((AND(RIGHT(G1216,2)=RIGHT('112'!$M$9,2),B1216&lt;'112'!$N$8,$M1216='112'!$I$6)),"x",""))</f>
        <v/>
      </c>
      <c r="U1216" s="55" t="str">
        <f>IF(AND('3411-CT'!$F$9=H1216,OR(LEFT(L1216,3)=$U$7,LEFT(M1216,3)=$U$7)),"x","")</f>
        <v/>
      </c>
      <c r="V1216" s="55" t="str">
        <f>IF(OR(TH!L1216=TH!$V$7,M1216=TH!$V$7),"x","")</f>
        <v/>
      </c>
      <c r="W1216" s="55" t="str">
        <f>IF(AND(OR(L1216="131",M1216="131"),H1216='131-CT'!$E$7),"x","")</f>
        <v/>
      </c>
      <c r="X1216" s="55" t="str">
        <f>IF(AND(B1216&gt;='IN-NX'!$P$3,B1216&lt;='IN-NX'!$Q$3,'IN-NX'!$D$7=D1216,OR(LEFT(TH!L1216,2)="15",LEFT(TH!M1216,2)="15")),"x","")</f>
        <v/>
      </c>
      <c r="Y1216" s="55" t="str">
        <f>IF(AND(OR(LEFT(TH!L1216,2)="15",LEFT(TH!M1216,2)="15"),'152-CT'!$J$8=TH!F1216),"x","")</f>
        <v/>
      </c>
      <c r="Z1216" s="55" t="str">
        <f>IF(AND(OR(LEFT(TH!L1216,2)="15",LEFT(TH!M1216,2)="15"),TK!$E$7=TH!F1216),"x","")</f>
        <v/>
      </c>
      <c r="AA1216" s="55" t="str">
        <f>IF(AND(B1216&lt;=NKC!$N$8,B1216&gt;=NKC!$M$8),"x","")</f>
        <v/>
      </c>
    </row>
    <row r="1217" spans="1:29" ht="15.75" customHeight="1">
      <c r="A1217" s="219" t="str">
        <f>IF(B1217&lt;&gt;"",IF(AND(B1217&gt;=_TM1,B1217&lt;=_TM2,OR(TH!L1217="1111",TH!M1217="1111")),TH!D1217,""),"")</f>
        <v/>
      </c>
      <c r="B1217" s="36">
        <f t="shared" si="39"/>
        <v>7</v>
      </c>
      <c r="C1217" s="205">
        <f t="shared" si="53"/>
        <v>41104</v>
      </c>
      <c r="D1217" s="205"/>
      <c r="E1217" s="205">
        <v>41104</v>
      </c>
      <c r="F1217" s="206" t="s">
        <v>1185</v>
      </c>
      <c r="G1217" s="581" t="s">
        <v>1418</v>
      </c>
      <c r="H1217" s="207" t="s">
        <v>1207</v>
      </c>
      <c r="I1217" s="277"/>
      <c r="J1217" s="277"/>
      <c r="K1217" s="38">
        <v>311931</v>
      </c>
      <c r="L1217" s="208" t="s">
        <v>49</v>
      </c>
      <c r="M1217" s="208" t="s">
        <v>549</v>
      </c>
      <c r="N1217" s="55" t="str">
        <f>IF(AND('331-CT'!$E$7=TH!H1217,OR(L1217="331",M1217="331")),"x","")</f>
        <v/>
      </c>
      <c r="O1217" s="55" t="str">
        <f>IF(AND($B1217&gt;='111'!$N$11,$B1217&lt;='111'!$O$11,OR($L1217=$O$7,$M1217=$O$7)),"x","")</f>
        <v/>
      </c>
      <c r="P1217" s="55" t="str">
        <f>IF(AND($L1217=$O$7,$B1217&lt;'111'!$N$11),"x","")</f>
        <v>x</v>
      </c>
      <c r="Q1217" s="55" t="str">
        <f>IF(AND($M1217=$O$7,$B1217&lt;'111'!$N$11),"x","")</f>
        <v/>
      </c>
      <c r="R1217" s="55" t="str">
        <f>IF(ISERROR(FIND('112'!$M$9,G1217,1)),"",IF((AND(FIND('112'!$M$9,G1217,1)&gt;=1,$B1217&gt;='112'!$N$8,$B1217&lt;='112'!$O$8,OR($L1217='112'!$I$6,$M1217='112'!$I$6))),"x",""))</f>
        <v/>
      </c>
      <c r="S1217" s="55" t="str">
        <f>IF(ISERROR(FIND('112'!$M$9,G1217,1)),"",IF((AND(LEFT(G1217,2)=LEFT('112'!$M$9,2),B1217&lt;'112'!$N$8,$L1217='112'!$I$6)),"x",""))</f>
        <v/>
      </c>
      <c r="T1217" s="55" t="str">
        <f>IF(ISERROR(FIND('112'!$M$9,G1217,1)),"",IF((AND(RIGHT(G1217,2)=RIGHT('112'!$M$9,2),B1217&lt;'112'!$N$8,$M1217='112'!$I$6)),"x",""))</f>
        <v/>
      </c>
      <c r="U1217" s="55" t="str">
        <f>IF(AND('3411-CT'!$F$9=H1217,OR(LEFT(L1217,3)=$U$7,LEFT(M1217,3)=$U$7)),"x","")</f>
        <v/>
      </c>
      <c r="V1217" s="55" t="str">
        <f>IF(OR(TH!L1217=TH!$V$7,M1217=TH!$V$7),"x","")</f>
        <v/>
      </c>
      <c r="W1217" s="55" t="str">
        <f>IF(AND(OR(L1217="131",M1217="131"),H1217='131-CT'!$E$7),"x","")</f>
        <v/>
      </c>
      <c r="X1217" s="55" t="str">
        <f>IF(AND(B1217&gt;='IN-NX'!$P$3,B1217&lt;='IN-NX'!$Q$3,'IN-NX'!$D$7=D1217,OR(LEFT(TH!L1217,2)="15",LEFT(TH!M1217,2)="15")),"x","")</f>
        <v/>
      </c>
      <c r="Y1217" s="55" t="str">
        <f>IF(AND(OR(LEFT(TH!L1217,2)="15",LEFT(TH!M1217,2)="15"),'152-CT'!$J$8=TH!F1217),"x","")</f>
        <v/>
      </c>
      <c r="Z1217" s="55" t="str">
        <f>IF(AND(OR(LEFT(TH!L1217,2)="15",LEFT(TH!M1217,2)="15"),TK!$E$7=TH!F1217),"x","")</f>
        <v/>
      </c>
      <c r="AA1217" s="55" t="str">
        <f>IF(AND(B1217&lt;=NKC!$N$8,B1217&gt;=NKC!$M$8),"x","")</f>
        <v/>
      </c>
      <c r="AC1217" s="226"/>
    </row>
    <row r="1218" spans="1:29" ht="15.75" customHeight="1">
      <c r="A1218" s="219" t="str">
        <f>IF(B1218&lt;&gt;"",IF(AND(B1218&gt;=_TM1,B1218&lt;=_TM2,OR(TH!L1218="1111",TH!M1218="1111")),TH!D1218,""),"")</f>
        <v/>
      </c>
      <c r="B1218" s="36">
        <f t="shared" si="39"/>
        <v>7</v>
      </c>
      <c r="C1218" s="205">
        <f t="shared" si="53"/>
        <v>41105</v>
      </c>
      <c r="D1218" s="205"/>
      <c r="E1218" s="205">
        <v>41105</v>
      </c>
      <c r="F1218" s="206" t="s">
        <v>1419</v>
      </c>
      <c r="G1218" s="581" t="s">
        <v>1420</v>
      </c>
      <c r="H1218" s="207" t="s">
        <v>1141</v>
      </c>
      <c r="I1218" s="277">
        <v>1287</v>
      </c>
      <c r="J1218" s="277">
        <v>5100</v>
      </c>
      <c r="K1218" s="38">
        <f t="shared" si="52"/>
        <v>6563700</v>
      </c>
      <c r="L1218" s="208" t="s">
        <v>311</v>
      </c>
      <c r="M1218" s="208" t="s">
        <v>208</v>
      </c>
      <c r="N1218" s="55" t="str">
        <f>IF(AND('331-CT'!$E$7=TH!H1218,OR(L1218="331",M1218="331")),"x","")</f>
        <v/>
      </c>
      <c r="O1218" s="55" t="str">
        <f>IF(AND($B1218&gt;='111'!$N$11,$B1218&lt;='111'!$O$11,OR($L1218=$O$7,$M1218=$O$7)),"x","")</f>
        <v/>
      </c>
      <c r="P1218" s="55" t="str">
        <f>IF(AND($L1218=$O$7,$B1218&lt;'111'!$N$11),"x","")</f>
        <v/>
      </c>
      <c r="Q1218" s="55" t="str">
        <f>IF(AND($M1218=$O$7,$B1218&lt;'111'!$N$11),"x","")</f>
        <v/>
      </c>
      <c r="R1218" s="55" t="str">
        <f>IF(ISERROR(FIND('112'!$M$9,G1218,1)),"",IF((AND(FIND('112'!$M$9,G1218,1)&gt;=1,$B1218&gt;='112'!$N$8,$B1218&lt;='112'!$O$8,OR($L1218='112'!$I$6,$M1218='112'!$I$6))),"x",""))</f>
        <v/>
      </c>
      <c r="S1218" s="55" t="str">
        <f>IF(ISERROR(FIND('112'!$M$9,G1218,1)),"",IF((AND(LEFT(G1218,2)=LEFT('112'!$M$9,2),B1218&lt;'112'!$N$8,$L1218='112'!$I$6)),"x",""))</f>
        <v/>
      </c>
      <c r="T1218" s="55" t="str">
        <f>IF(ISERROR(FIND('112'!$M$9,G1218,1)),"",IF((AND(RIGHT(G1218,2)=RIGHT('112'!$M$9,2),B1218&lt;'112'!$N$8,$M1218='112'!$I$6)),"x",""))</f>
        <v/>
      </c>
      <c r="U1218" s="55" t="str">
        <f>IF(AND('3411-CT'!$F$9=H1218,OR(LEFT(L1218,3)=$U$7,LEFT(M1218,3)=$U$7)),"x","")</f>
        <v/>
      </c>
      <c r="V1218" s="55" t="str">
        <f>IF(OR(TH!L1218=TH!$V$7,M1218=TH!$V$7),"x","")</f>
        <v/>
      </c>
      <c r="W1218" s="55" t="str">
        <f>IF(AND(OR(L1218="131",M1218="131"),H1218='131-CT'!$E$7),"x","")</f>
        <v/>
      </c>
      <c r="X1218" s="55" t="str">
        <f>IF(AND(B1218&gt;='IN-NX'!$P$3,B1218&lt;='IN-NX'!$Q$3,'IN-NX'!$D$7=D1218,OR(LEFT(TH!L1218,2)="15",LEFT(TH!M1218,2)="15")),"x","")</f>
        <v/>
      </c>
      <c r="Y1218" s="55" t="str">
        <f>IF(AND(OR(LEFT(TH!L1218,2)="15",LEFT(TH!M1218,2)="15"),'152-CT'!$J$8=TH!F1218),"x","")</f>
        <v/>
      </c>
      <c r="Z1218" s="55" t="str">
        <f>IF(AND(OR(LEFT(TH!L1218,2)="15",LEFT(TH!M1218,2)="15"),TK!$E$7=TH!F1218),"x","")</f>
        <v/>
      </c>
      <c r="AA1218" s="55" t="str">
        <f>IF(AND(B1218&lt;=NKC!$N$8,B1218&gt;=NKC!$M$8),"x","")</f>
        <v/>
      </c>
    </row>
    <row r="1219" spans="1:29" ht="15.75" customHeight="1">
      <c r="A1219" s="219" t="str">
        <f>IF(B1219&lt;&gt;"",IF(AND(B1219&gt;=_TM1,B1219&lt;=_TM2,OR(TH!L1219="1111",TH!M1219="1111")),TH!D1219,""),"")</f>
        <v/>
      </c>
      <c r="B1219" s="36">
        <f t="shared" si="39"/>
        <v>7</v>
      </c>
      <c r="C1219" s="205">
        <f t="shared" si="53"/>
        <v>41105</v>
      </c>
      <c r="D1219" s="205"/>
      <c r="E1219" s="205">
        <v>41105</v>
      </c>
      <c r="F1219" s="206" t="s">
        <v>1421</v>
      </c>
      <c r="G1219" s="581" t="s">
        <v>1420</v>
      </c>
      <c r="H1219" s="207" t="s">
        <v>1141</v>
      </c>
      <c r="I1219" s="277">
        <v>1175</v>
      </c>
      <c r="J1219" s="277">
        <v>7110</v>
      </c>
      <c r="K1219" s="38">
        <f t="shared" si="52"/>
        <v>8354250</v>
      </c>
      <c r="L1219" s="208" t="s">
        <v>311</v>
      </c>
      <c r="M1219" s="208" t="s">
        <v>208</v>
      </c>
      <c r="N1219" s="55" t="str">
        <f>IF(AND('331-CT'!$E$7=TH!H1219,OR(L1219="331",M1219="331")),"x","")</f>
        <v/>
      </c>
      <c r="O1219" s="55" t="str">
        <f>IF(AND($B1219&gt;='111'!$N$11,$B1219&lt;='111'!$O$11,OR($L1219=$O$7,$M1219=$O$7)),"x","")</f>
        <v/>
      </c>
      <c r="P1219" s="55" t="str">
        <f>IF(AND($L1219=$O$7,$B1219&lt;'111'!$N$11),"x","")</f>
        <v/>
      </c>
      <c r="Q1219" s="55" t="str">
        <f>IF(AND($M1219=$O$7,$B1219&lt;'111'!$N$11),"x","")</f>
        <v/>
      </c>
      <c r="R1219" s="55" t="str">
        <f>IF(ISERROR(FIND('112'!$M$9,G1219,1)),"",IF((AND(FIND('112'!$M$9,G1219,1)&gt;=1,$B1219&gt;='112'!$N$8,$B1219&lt;='112'!$O$8,OR($L1219='112'!$I$6,$M1219='112'!$I$6))),"x",""))</f>
        <v/>
      </c>
      <c r="S1219" s="55" t="str">
        <f>IF(ISERROR(FIND('112'!$M$9,G1219,1)),"",IF((AND(LEFT(G1219,2)=LEFT('112'!$M$9,2),B1219&lt;'112'!$N$8,$L1219='112'!$I$6)),"x",""))</f>
        <v/>
      </c>
      <c r="T1219" s="55" t="str">
        <f>IF(ISERROR(FIND('112'!$M$9,G1219,1)),"",IF((AND(RIGHT(G1219,2)=RIGHT('112'!$M$9,2),B1219&lt;'112'!$N$8,$M1219='112'!$I$6)),"x",""))</f>
        <v/>
      </c>
      <c r="U1219" s="55" t="str">
        <f>IF(AND('3411-CT'!$F$9=H1219,OR(LEFT(L1219,3)=$U$7,LEFT(M1219,3)=$U$7)),"x","")</f>
        <v/>
      </c>
      <c r="V1219" s="55" t="str">
        <f>IF(OR(TH!L1219=TH!$V$7,M1219=TH!$V$7),"x","")</f>
        <v/>
      </c>
      <c r="W1219" s="55" t="str">
        <f>IF(AND(OR(L1219="131",M1219="131"),H1219='131-CT'!$E$7),"x","")</f>
        <v/>
      </c>
      <c r="X1219" s="55" t="str">
        <f>IF(AND(B1219&gt;='IN-NX'!$P$3,B1219&lt;='IN-NX'!$Q$3,'IN-NX'!$D$7=D1219,OR(LEFT(TH!L1219,2)="15",LEFT(TH!M1219,2)="15")),"x","")</f>
        <v/>
      </c>
      <c r="Y1219" s="55" t="str">
        <f>IF(AND(OR(LEFT(TH!L1219,2)="15",LEFT(TH!M1219,2)="15"),'152-CT'!$J$8=TH!F1219),"x","")</f>
        <v/>
      </c>
      <c r="Z1219" s="55" t="str">
        <f>IF(AND(OR(LEFT(TH!L1219,2)="15",LEFT(TH!M1219,2)="15"),TK!$E$7=TH!F1219),"x","")</f>
        <v/>
      </c>
      <c r="AA1219" s="55" t="str">
        <f>IF(AND(B1219&lt;=NKC!$N$8,B1219&gt;=NKC!$M$8),"x","")</f>
        <v/>
      </c>
    </row>
    <row r="1220" spans="1:29" ht="15.75" customHeight="1">
      <c r="A1220" s="219" t="str">
        <f>IF(B1220&lt;&gt;"",IF(AND(B1220&gt;=_TM1,B1220&lt;=_TM2,OR(TH!L1220="1111",TH!M1220="1111")),TH!D1220,""),"")</f>
        <v/>
      </c>
      <c r="B1220" s="36">
        <f t="shared" si="39"/>
        <v>7</v>
      </c>
      <c r="C1220" s="205">
        <f t="shared" si="53"/>
        <v>41105</v>
      </c>
      <c r="D1220" s="205"/>
      <c r="E1220" s="205">
        <v>41105</v>
      </c>
      <c r="F1220" s="206" t="s">
        <v>1422</v>
      </c>
      <c r="G1220" s="581" t="s">
        <v>1420</v>
      </c>
      <c r="H1220" s="207" t="s">
        <v>1141</v>
      </c>
      <c r="I1220" s="278">
        <v>996</v>
      </c>
      <c r="J1220" s="278">
        <v>6150</v>
      </c>
      <c r="K1220" s="38">
        <f t="shared" si="52"/>
        <v>6125400</v>
      </c>
      <c r="L1220" s="208" t="s">
        <v>311</v>
      </c>
      <c r="M1220" s="208" t="s">
        <v>208</v>
      </c>
      <c r="N1220" s="55" t="str">
        <f>IF(AND('331-CT'!$E$7=TH!H1220,OR(L1220="331",M1220="331")),"x","")</f>
        <v/>
      </c>
      <c r="O1220" s="55" t="str">
        <f>IF(AND($B1220&gt;='111'!$N$11,$B1220&lt;='111'!$O$11,OR($L1220=$O$7,$M1220=$O$7)),"x","")</f>
        <v/>
      </c>
      <c r="P1220" s="55" t="str">
        <f>IF(AND($L1220=$O$7,$B1220&lt;'111'!$N$11),"x","")</f>
        <v/>
      </c>
      <c r="Q1220" s="55" t="str">
        <f>IF(AND($M1220=$O$7,$B1220&lt;'111'!$N$11),"x","")</f>
        <v/>
      </c>
      <c r="R1220" s="55" t="str">
        <f>IF(ISERROR(FIND('112'!$M$9,G1220,1)),"",IF((AND(FIND('112'!$M$9,G1220,1)&gt;=1,$B1220&gt;='112'!$N$8,$B1220&lt;='112'!$O$8,OR($L1220='112'!$I$6,$M1220='112'!$I$6))),"x",""))</f>
        <v/>
      </c>
      <c r="S1220" s="55" t="str">
        <f>IF(ISERROR(FIND('112'!$M$9,G1220,1)),"",IF((AND(LEFT(G1220,2)=LEFT('112'!$M$9,2),B1220&lt;'112'!$N$8,$L1220='112'!$I$6)),"x",""))</f>
        <v/>
      </c>
      <c r="T1220" s="55" t="str">
        <f>IF(ISERROR(FIND('112'!$M$9,G1220,1)),"",IF((AND(RIGHT(G1220,2)=RIGHT('112'!$M$9,2),B1220&lt;'112'!$N$8,$M1220='112'!$I$6)),"x",""))</f>
        <v/>
      </c>
      <c r="U1220" s="55" t="str">
        <f>IF(AND('3411-CT'!$F$9=H1220,OR(LEFT(L1220,3)=$U$7,LEFT(M1220,3)=$U$7)),"x","")</f>
        <v/>
      </c>
      <c r="V1220" s="55" t="str">
        <f>IF(OR(TH!L1220=TH!$V$7,M1220=TH!$V$7),"x","")</f>
        <v/>
      </c>
      <c r="W1220" s="55" t="str">
        <f>IF(AND(OR(L1220="131",M1220="131"),H1220='131-CT'!$E$7),"x","")</f>
        <v/>
      </c>
      <c r="X1220" s="55" t="str">
        <f>IF(AND(B1220&gt;='IN-NX'!$P$3,B1220&lt;='IN-NX'!$Q$3,'IN-NX'!$D$7=D1220,OR(LEFT(TH!L1220,2)="15",LEFT(TH!M1220,2)="15")),"x","")</f>
        <v/>
      </c>
      <c r="Y1220" s="55" t="str">
        <f>IF(AND(OR(LEFT(TH!L1220,2)="15",LEFT(TH!M1220,2)="15"),'152-CT'!$J$8=TH!F1220),"x","")</f>
        <v/>
      </c>
      <c r="Z1220" s="55" t="str">
        <f>IF(AND(OR(LEFT(TH!L1220,2)="15",LEFT(TH!M1220,2)="15"),TK!$E$7=TH!F1220),"x","")</f>
        <v/>
      </c>
      <c r="AA1220" s="55" t="str">
        <f>IF(AND(B1220&lt;=NKC!$N$8,B1220&gt;=NKC!$M$8),"x","")</f>
        <v/>
      </c>
    </row>
    <row r="1221" spans="1:29" ht="15.75" customHeight="1">
      <c r="A1221" s="219" t="str">
        <f>IF(B1221&lt;&gt;"",IF(AND(B1221&gt;=_TM1,B1221&lt;=_TM2,OR(TH!L1221="1111",TH!M1221="1111")),TH!D1221,""),"")</f>
        <v/>
      </c>
      <c r="B1221" s="36">
        <f t="shared" si="39"/>
        <v>7</v>
      </c>
      <c r="C1221" s="205">
        <f t="shared" si="53"/>
        <v>41105</v>
      </c>
      <c r="D1221" s="205"/>
      <c r="E1221" s="205">
        <v>41105</v>
      </c>
      <c r="F1221" s="206" t="s">
        <v>1423</v>
      </c>
      <c r="G1221" s="581" t="s">
        <v>1420</v>
      </c>
      <c r="H1221" s="207" t="s">
        <v>1141</v>
      </c>
      <c r="I1221" s="278">
        <v>1006</v>
      </c>
      <c r="J1221" s="278">
        <v>7050</v>
      </c>
      <c r="K1221" s="38">
        <f t="shared" si="52"/>
        <v>7092300</v>
      </c>
      <c r="L1221" s="208" t="s">
        <v>311</v>
      </c>
      <c r="M1221" s="208" t="s">
        <v>208</v>
      </c>
      <c r="N1221" s="55" t="str">
        <f>IF(AND('331-CT'!$E$7=TH!H1221,OR(L1221="331",M1221="331")),"x","")</f>
        <v/>
      </c>
      <c r="O1221" s="55" t="str">
        <f>IF(AND($B1221&gt;='111'!$N$11,$B1221&lt;='111'!$O$11,OR($L1221=$O$7,$M1221=$O$7)),"x","")</f>
        <v/>
      </c>
      <c r="P1221" s="55" t="str">
        <f>IF(AND($L1221=$O$7,$B1221&lt;'111'!$N$11),"x","")</f>
        <v/>
      </c>
      <c r="Q1221" s="55" t="str">
        <f>IF(AND($M1221=$O$7,$B1221&lt;'111'!$N$11),"x","")</f>
        <v/>
      </c>
      <c r="R1221" s="55" t="str">
        <f>IF(ISERROR(FIND('112'!$M$9,G1221,1)),"",IF((AND(FIND('112'!$M$9,G1221,1)&gt;=1,$B1221&gt;='112'!$N$8,$B1221&lt;='112'!$O$8,OR($L1221='112'!$I$6,$M1221='112'!$I$6))),"x",""))</f>
        <v/>
      </c>
      <c r="S1221" s="55" t="str">
        <f>IF(ISERROR(FIND('112'!$M$9,G1221,1)),"",IF((AND(LEFT(G1221,2)=LEFT('112'!$M$9,2),B1221&lt;'112'!$N$8,$L1221='112'!$I$6)),"x",""))</f>
        <v/>
      </c>
      <c r="T1221" s="55" t="str">
        <f>IF(ISERROR(FIND('112'!$M$9,G1221,1)),"",IF((AND(RIGHT(G1221,2)=RIGHT('112'!$M$9,2),B1221&lt;'112'!$N$8,$M1221='112'!$I$6)),"x",""))</f>
        <v/>
      </c>
      <c r="U1221" s="55" t="str">
        <f>IF(AND('3411-CT'!$F$9=H1221,OR(LEFT(L1221,3)=$U$7,LEFT(M1221,3)=$U$7)),"x","")</f>
        <v/>
      </c>
      <c r="V1221" s="55" t="str">
        <f>IF(OR(TH!L1221=TH!$V$7,M1221=TH!$V$7),"x","")</f>
        <v/>
      </c>
      <c r="W1221" s="55" t="str">
        <f>IF(AND(OR(L1221="131",M1221="131"),H1221='131-CT'!$E$7),"x","")</f>
        <v/>
      </c>
      <c r="X1221" s="55" t="str">
        <f>IF(AND(B1221&gt;='IN-NX'!$P$3,B1221&lt;='IN-NX'!$Q$3,'IN-NX'!$D$7=D1221,OR(LEFT(TH!L1221,2)="15",LEFT(TH!M1221,2)="15")),"x","")</f>
        <v/>
      </c>
      <c r="Y1221" s="55" t="str">
        <f>IF(AND(OR(LEFT(TH!L1221,2)="15",LEFT(TH!M1221,2)="15"),'152-CT'!$J$8=TH!F1221),"x","")</f>
        <v/>
      </c>
      <c r="Z1221" s="55" t="str">
        <f>IF(AND(OR(LEFT(TH!L1221,2)="15",LEFT(TH!M1221,2)="15"),TK!$E$7=TH!F1221),"x","")</f>
        <v/>
      </c>
      <c r="AA1221" s="55" t="str">
        <f>IF(AND(B1221&lt;=NKC!$N$8,B1221&gt;=NKC!$M$8),"x","")</f>
        <v/>
      </c>
    </row>
    <row r="1222" spans="1:29" ht="15.75" customHeight="1">
      <c r="A1222" s="219" t="str">
        <f>IF(B1222&lt;&gt;"",IF(AND(B1222&gt;=_TM1,B1222&lt;=_TM2,OR(TH!L1222="1111",TH!M1222="1111")),TH!D1222,""),"")</f>
        <v/>
      </c>
      <c r="B1222" s="36">
        <f t="shared" si="39"/>
        <v>7</v>
      </c>
      <c r="C1222" s="205">
        <f t="shared" si="53"/>
        <v>41105</v>
      </c>
      <c r="D1222" s="205"/>
      <c r="E1222" s="205">
        <v>41105</v>
      </c>
      <c r="F1222" s="206" t="s">
        <v>1424</v>
      </c>
      <c r="G1222" s="581" t="s">
        <v>1420</v>
      </c>
      <c r="H1222" s="207" t="s">
        <v>1141</v>
      </c>
      <c r="I1222" s="277">
        <v>1290</v>
      </c>
      <c r="J1222" s="277">
        <v>5100</v>
      </c>
      <c r="K1222" s="38">
        <f t="shared" si="52"/>
        <v>6579000</v>
      </c>
      <c r="L1222" s="208" t="s">
        <v>311</v>
      </c>
      <c r="M1222" s="208" t="s">
        <v>208</v>
      </c>
      <c r="N1222" s="55" t="str">
        <f>IF(AND('331-CT'!$E$7=TH!H1222,OR(L1222="331",M1222="331")),"x","")</f>
        <v/>
      </c>
      <c r="O1222" s="55" t="str">
        <f>IF(AND($B1222&gt;='111'!$N$11,$B1222&lt;='111'!$O$11,OR($L1222=$O$7,$M1222=$O$7)),"x","")</f>
        <v/>
      </c>
      <c r="P1222" s="55" t="str">
        <f>IF(AND($L1222=$O$7,$B1222&lt;'111'!$N$11),"x","")</f>
        <v/>
      </c>
      <c r="Q1222" s="55" t="str">
        <f>IF(AND($M1222=$O$7,$B1222&lt;'111'!$N$11),"x","")</f>
        <v/>
      </c>
      <c r="R1222" s="55" t="str">
        <f>IF(ISERROR(FIND('112'!$M$9,G1222,1)),"",IF((AND(FIND('112'!$M$9,G1222,1)&gt;=1,$B1222&gt;='112'!$N$8,$B1222&lt;='112'!$O$8,OR($L1222='112'!$I$6,$M1222='112'!$I$6))),"x",""))</f>
        <v/>
      </c>
      <c r="S1222" s="55" t="str">
        <f>IF(ISERROR(FIND('112'!$M$9,G1222,1)),"",IF((AND(LEFT(G1222,2)=LEFT('112'!$M$9,2),B1222&lt;'112'!$N$8,$L1222='112'!$I$6)),"x",""))</f>
        <v/>
      </c>
      <c r="T1222" s="55" t="str">
        <f>IF(ISERROR(FIND('112'!$M$9,G1222,1)),"",IF((AND(RIGHT(G1222,2)=RIGHT('112'!$M$9,2),B1222&lt;'112'!$N$8,$M1222='112'!$I$6)),"x",""))</f>
        <v/>
      </c>
      <c r="U1222" s="55" t="str">
        <f>IF(AND('3411-CT'!$F$9=H1222,OR(LEFT(L1222,3)=$U$7,LEFT(M1222,3)=$U$7)),"x","")</f>
        <v/>
      </c>
      <c r="V1222" s="55" t="str">
        <f>IF(OR(TH!L1222=TH!$V$7,M1222=TH!$V$7),"x","")</f>
        <v/>
      </c>
      <c r="W1222" s="55" t="str">
        <f>IF(AND(OR(L1222="131",M1222="131"),H1222='131-CT'!$E$7),"x","")</f>
        <v/>
      </c>
      <c r="X1222" s="55" t="str">
        <f>IF(AND(B1222&gt;='IN-NX'!$P$3,B1222&lt;='IN-NX'!$Q$3,'IN-NX'!$D$7=D1222,OR(LEFT(TH!L1222,2)="15",LEFT(TH!M1222,2)="15")),"x","")</f>
        <v/>
      </c>
      <c r="Y1222" s="55" t="str">
        <f>IF(AND(OR(LEFT(TH!L1222,2)="15",LEFT(TH!M1222,2)="15"),'152-CT'!$J$8=TH!F1222),"x","")</f>
        <v/>
      </c>
      <c r="Z1222" s="55" t="str">
        <f>IF(AND(OR(LEFT(TH!L1222,2)="15",LEFT(TH!M1222,2)="15"),TK!$E$7=TH!F1222),"x","")</f>
        <v/>
      </c>
      <c r="AA1222" s="55" t="str">
        <f>IF(AND(B1222&lt;=NKC!$N$8,B1222&gt;=NKC!$M$8),"x","")</f>
        <v/>
      </c>
    </row>
    <row r="1223" spans="1:29" ht="15.75" customHeight="1">
      <c r="A1223" s="219" t="str">
        <f>IF(B1223&lt;&gt;"",IF(AND(B1223&gt;=_TM1,B1223&lt;=_TM2,OR(TH!L1223="1111",TH!M1223="1111")),TH!D1223,""),"")</f>
        <v/>
      </c>
      <c r="B1223" s="36">
        <f t="shared" si="39"/>
        <v>7</v>
      </c>
      <c r="C1223" s="205">
        <f t="shared" si="53"/>
        <v>41105</v>
      </c>
      <c r="D1223" s="205"/>
      <c r="E1223" s="205">
        <v>41105</v>
      </c>
      <c r="F1223" s="206" t="s">
        <v>1185</v>
      </c>
      <c r="G1223" s="581" t="s">
        <v>1420</v>
      </c>
      <c r="H1223" s="207" t="s">
        <v>1141</v>
      </c>
      <c r="I1223" s="277"/>
      <c r="J1223" s="277"/>
      <c r="K1223" s="38">
        <v>3471465</v>
      </c>
      <c r="L1223" s="208" t="s">
        <v>311</v>
      </c>
      <c r="M1223" s="208" t="s">
        <v>549</v>
      </c>
      <c r="N1223" s="55" t="str">
        <f>IF(AND('331-CT'!$E$7=TH!H1223,OR(L1223="331",M1223="331")),"x","")</f>
        <v/>
      </c>
      <c r="O1223" s="55" t="str">
        <f>IF(AND($B1223&gt;='111'!$N$11,$B1223&lt;='111'!$O$11,OR($L1223=$O$7,$M1223=$O$7)),"x","")</f>
        <v/>
      </c>
      <c r="P1223" s="55" t="str">
        <f>IF(AND($L1223=$O$7,$B1223&lt;'111'!$N$11),"x","")</f>
        <v/>
      </c>
      <c r="Q1223" s="55" t="str">
        <f>IF(AND($M1223=$O$7,$B1223&lt;'111'!$N$11),"x","")</f>
        <v/>
      </c>
      <c r="R1223" s="55" t="str">
        <f>IF(ISERROR(FIND('112'!$M$9,G1223,1)),"",IF((AND(FIND('112'!$M$9,G1223,1)&gt;=1,$B1223&gt;='112'!$N$8,$B1223&lt;='112'!$O$8,OR($L1223='112'!$I$6,$M1223='112'!$I$6))),"x",""))</f>
        <v/>
      </c>
      <c r="S1223" s="55" t="str">
        <f>IF(ISERROR(FIND('112'!$M$9,G1223,1)),"",IF((AND(LEFT(G1223,2)=LEFT('112'!$M$9,2),B1223&lt;'112'!$N$8,$L1223='112'!$I$6)),"x",""))</f>
        <v/>
      </c>
      <c r="T1223" s="55" t="str">
        <f>IF(ISERROR(FIND('112'!$M$9,G1223,1)),"",IF((AND(RIGHT(G1223,2)=RIGHT('112'!$M$9,2),B1223&lt;'112'!$N$8,$M1223='112'!$I$6)),"x",""))</f>
        <v/>
      </c>
      <c r="U1223" s="55" t="str">
        <f>IF(AND('3411-CT'!$F$9=H1223,OR(LEFT(L1223,3)=$U$7,LEFT(M1223,3)=$U$7)),"x","")</f>
        <v/>
      </c>
      <c r="V1223" s="55" t="str">
        <f>IF(OR(TH!L1223=TH!$V$7,M1223=TH!$V$7),"x","")</f>
        <v/>
      </c>
      <c r="W1223" s="55" t="str">
        <f>IF(AND(OR(L1223="131",M1223="131"),H1223='131-CT'!$E$7),"x","")</f>
        <v/>
      </c>
      <c r="X1223" s="55" t="str">
        <f>IF(AND(B1223&gt;='IN-NX'!$P$3,B1223&lt;='IN-NX'!$Q$3,'IN-NX'!$D$7=D1223,OR(LEFT(TH!L1223,2)="15",LEFT(TH!M1223,2)="15")),"x","")</f>
        <v/>
      </c>
      <c r="Y1223" s="55" t="str">
        <f>IF(AND(OR(LEFT(TH!L1223,2)="15",LEFT(TH!M1223,2)="15"),'152-CT'!$J$8=TH!F1223),"x","")</f>
        <v/>
      </c>
      <c r="Z1223" s="55" t="str">
        <f>IF(AND(OR(LEFT(TH!L1223,2)="15",LEFT(TH!M1223,2)="15"),TK!$E$7=TH!F1223),"x","")</f>
        <v/>
      </c>
      <c r="AA1223" s="55" t="str">
        <f>IF(AND(B1223&lt;=NKC!$N$8,B1223&gt;=NKC!$M$8),"x","")</f>
        <v/>
      </c>
      <c r="AC1223" s="226"/>
    </row>
    <row r="1224" spans="1:29" ht="15.75" customHeight="1">
      <c r="A1224" s="219" t="str">
        <f>IF(B1224&lt;&gt;"",IF(AND(B1224&gt;=_TM1,B1224&lt;=_TM2,OR(TH!L1224="1111",TH!M1224="1111")),TH!D1224,""),"")</f>
        <v/>
      </c>
      <c r="B1224" s="36">
        <f t="shared" si="39"/>
        <v>7</v>
      </c>
      <c r="C1224" s="205">
        <f t="shared" si="53"/>
        <v>41117</v>
      </c>
      <c r="D1224" s="205"/>
      <c r="E1224" s="205">
        <v>41117</v>
      </c>
      <c r="F1224" s="206" t="s">
        <v>1425</v>
      </c>
      <c r="G1224" s="581" t="s">
        <v>1426</v>
      </c>
      <c r="H1224" s="207" t="s">
        <v>1256</v>
      </c>
      <c r="I1224" s="277">
        <v>615</v>
      </c>
      <c r="J1224" s="277">
        <v>8360</v>
      </c>
      <c r="K1224" s="38">
        <f t="shared" si="52"/>
        <v>5141400</v>
      </c>
      <c r="L1224" s="208" t="s">
        <v>49</v>
      </c>
      <c r="M1224" s="208" t="s">
        <v>208</v>
      </c>
      <c r="N1224" s="55" t="str">
        <f>IF(AND('331-CT'!$E$7=TH!H1224,OR(L1224="331",M1224="331")),"x","")</f>
        <v/>
      </c>
      <c r="O1224" s="55" t="str">
        <f>IF(AND($B1224&gt;='111'!$N$11,$B1224&lt;='111'!$O$11,OR($L1224=$O$7,$M1224=$O$7)),"x","")</f>
        <v/>
      </c>
      <c r="P1224" s="55" t="str">
        <f>IF(AND($L1224=$O$7,$B1224&lt;'111'!$N$11),"x","")</f>
        <v>x</v>
      </c>
      <c r="Q1224" s="55" t="str">
        <f>IF(AND($M1224=$O$7,$B1224&lt;'111'!$N$11),"x","")</f>
        <v/>
      </c>
      <c r="R1224" s="55" t="str">
        <f>IF(ISERROR(FIND('112'!$M$9,G1224,1)),"",IF((AND(FIND('112'!$M$9,G1224,1)&gt;=1,$B1224&gt;='112'!$N$8,$B1224&lt;='112'!$O$8,OR($L1224='112'!$I$6,$M1224='112'!$I$6))),"x",""))</f>
        <v/>
      </c>
      <c r="S1224" s="55" t="str">
        <f>IF(ISERROR(FIND('112'!$M$9,G1224,1)),"",IF((AND(LEFT(G1224,2)=LEFT('112'!$M$9,2),B1224&lt;'112'!$N$8,$L1224='112'!$I$6)),"x",""))</f>
        <v/>
      </c>
      <c r="T1224" s="55" t="str">
        <f>IF(ISERROR(FIND('112'!$M$9,G1224,1)),"",IF((AND(RIGHT(G1224,2)=RIGHT('112'!$M$9,2),B1224&lt;'112'!$N$8,$M1224='112'!$I$6)),"x",""))</f>
        <v/>
      </c>
      <c r="U1224" s="55" t="str">
        <f>IF(AND('3411-CT'!$F$9=H1224,OR(LEFT(L1224,3)=$U$7,LEFT(M1224,3)=$U$7)),"x","")</f>
        <v/>
      </c>
      <c r="V1224" s="55" t="str">
        <f>IF(OR(TH!L1224=TH!$V$7,M1224=TH!$V$7),"x","")</f>
        <v/>
      </c>
      <c r="W1224" s="55" t="str">
        <f>IF(AND(OR(L1224="131",M1224="131"),H1224='131-CT'!$E$7),"x","")</f>
        <v/>
      </c>
      <c r="X1224" s="55" t="str">
        <f>IF(AND(B1224&gt;='IN-NX'!$P$3,B1224&lt;='IN-NX'!$Q$3,'IN-NX'!$D$7=D1224,OR(LEFT(TH!L1224,2)="15",LEFT(TH!M1224,2)="15")),"x","")</f>
        <v/>
      </c>
      <c r="Y1224" s="55" t="str">
        <f>IF(AND(OR(LEFT(TH!L1224,2)="15",LEFT(TH!M1224,2)="15"),'152-CT'!$J$8=TH!F1224),"x","")</f>
        <v/>
      </c>
      <c r="Z1224" s="55" t="str">
        <f>IF(AND(OR(LEFT(TH!L1224,2)="15",LEFT(TH!M1224,2)="15"),TK!$E$7=TH!F1224),"x","")</f>
        <v/>
      </c>
      <c r="AA1224" s="55" t="str">
        <f>IF(AND(B1224&lt;=NKC!$N$8,B1224&gt;=NKC!$M$8),"x","")</f>
        <v/>
      </c>
    </row>
    <row r="1225" spans="1:29" ht="15.75" customHeight="1">
      <c r="A1225" s="219" t="str">
        <f>IF(B1225&lt;&gt;"",IF(AND(B1225&gt;=_TM1,B1225&lt;=_TM2,OR(TH!L1225="1111",TH!M1225="1111")),TH!D1225,""),"")</f>
        <v/>
      </c>
      <c r="B1225" s="36">
        <f t="shared" si="39"/>
        <v>7</v>
      </c>
      <c r="C1225" s="205">
        <f t="shared" si="53"/>
        <v>41117</v>
      </c>
      <c r="D1225" s="205"/>
      <c r="E1225" s="205">
        <v>41117</v>
      </c>
      <c r="F1225" s="206" t="s">
        <v>1427</v>
      </c>
      <c r="G1225" s="581" t="s">
        <v>1426</v>
      </c>
      <c r="H1225" s="207" t="s">
        <v>1256</v>
      </c>
      <c r="I1225" s="277">
        <v>200</v>
      </c>
      <c r="J1225" s="277">
        <v>11000</v>
      </c>
      <c r="K1225" s="38">
        <f t="shared" si="52"/>
        <v>2200000</v>
      </c>
      <c r="L1225" s="208" t="s">
        <v>49</v>
      </c>
      <c r="M1225" s="208" t="s">
        <v>208</v>
      </c>
      <c r="N1225" s="55" t="str">
        <f>IF(AND('331-CT'!$E$7=TH!H1225,OR(L1225="331",M1225="331")),"x","")</f>
        <v/>
      </c>
      <c r="O1225" s="55" t="str">
        <f>IF(AND($B1225&gt;='111'!$N$11,$B1225&lt;='111'!$O$11,OR($L1225=$O$7,$M1225=$O$7)),"x","")</f>
        <v/>
      </c>
      <c r="P1225" s="55" t="str">
        <f>IF(AND($L1225=$O$7,$B1225&lt;'111'!$N$11),"x","")</f>
        <v>x</v>
      </c>
      <c r="Q1225" s="55" t="str">
        <f>IF(AND($M1225=$O$7,$B1225&lt;'111'!$N$11),"x","")</f>
        <v/>
      </c>
      <c r="R1225" s="55" t="str">
        <f>IF(ISERROR(FIND('112'!$M$9,G1225,1)),"",IF((AND(FIND('112'!$M$9,G1225,1)&gt;=1,$B1225&gt;='112'!$N$8,$B1225&lt;='112'!$O$8,OR($L1225='112'!$I$6,$M1225='112'!$I$6))),"x",""))</f>
        <v/>
      </c>
      <c r="S1225" s="55" t="str">
        <f>IF(ISERROR(FIND('112'!$M$9,G1225,1)),"",IF((AND(LEFT(G1225,2)=LEFT('112'!$M$9,2),B1225&lt;'112'!$N$8,$L1225='112'!$I$6)),"x",""))</f>
        <v/>
      </c>
      <c r="T1225" s="55" t="str">
        <f>IF(ISERROR(FIND('112'!$M$9,G1225,1)),"",IF((AND(RIGHT(G1225,2)=RIGHT('112'!$M$9,2),B1225&lt;'112'!$N$8,$M1225='112'!$I$6)),"x",""))</f>
        <v/>
      </c>
      <c r="U1225" s="55" t="str">
        <f>IF(AND('3411-CT'!$F$9=H1225,OR(LEFT(L1225,3)=$U$7,LEFT(M1225,3)=$U$7)),"x","")</f>
        <v/>
      </c>
      <c r="V1225" s="55" t="str">
        <f>IF(OR(TH!L1225=TH!$V$7,M1225=TH!$V$7),"x","")</f>
        <v/>
      </c>
      <c r="W1225" s="55" t="str">
        <f>IF(AND(OR(L1225="131",M1225="131"),H1225='131-CT'!$E$7),"x","")</f>
        <v/>
      </c>
      <c r="X1225" s="55" t="str">
        <f>IF(AND(B1225&gt;='IN-NX'!$P$3,B1225&lt;='IN-NX'!$Q$3,'IN-NX'!$D$7=D1225,OR(LEFT(TH!L1225,2)="15",LEFT(TH!M1225,2)="15")),"x","")</f>
        <v/>
      </c>
      <c r="Y1225" s="55" t="str">
        <f>IF(AND(OR(LEFT(TH!L1225,2)="15",LEFT(TH!M1225,2)="15"),'152-CT'!$J$8=TH!F1225),"x","")</f>
        <v/>
      </c>
      <c r="Z1225" s="55" t="str">
        <f>IF(AND(OR(LEFT(TH!L1225,2)="15",LEFT(TH!M1225,2)="15"),TK!$E$7=TH!F1225),"x","")</f>
        <v/>
      </c>
      <c r="AA1225" s="55" t="str">
        <f>IF(AND(B1225&lt;=NKC!$N$8,B1225&gt;=NKC!$M$8),"x","")</f>
        <v/>
      </c>
    </row>
    <row r="1226" spans="1:29" s="226" customFormat="1" ht="15.75" customHeight="1">
      <c r="A1226" s="219" t="str">
        <f>IF(B1226&lt;&gt;"",IF(AND(B1226&gt;=_TM1,B1226&lt;=_TM2,OR(TH!L1226="1111",TH!M1226="1111")),TH!D1226,""),"")</f>
        <v/>
      </c>
      <c r="B1226" s="36">
        <f t="shared" ref="B1226:B1259" si="54">IF(C1226&lt;&gt;"",MONTH(C1226),"")</f>
        <v>7</v>
      </c>
      <c r="C1226" s="205">
        <f t="shared" si="53"/>
        <v>41117</v>
      </c>
      <c r="D1226" s="205"/>
      <c r="E1226" s="205">
        <v>41117</v>
      </c>
      <c r="F1226" s="206" t="s">
        <v>1185</v>
      </c>
      <c r="G1226" s="581" t="s">
        <v>1426</v>
      </c>
      <c r="H1226" s="207" t="s">
        <v>1256</v>
      </c>
      <c r="I1226" s="277"/>
      <c r="J1226" s="277"/>
      <c r="K1226" s="38">
        <v>734140</v>
      </c>
      <c r="L1226" s="208" t="s">
        <v>49</v>
      </c>
      <c r="M1226" s="208" t="s">
        <v>549</v>
      </c>
      <c r="N1226" s="55" t="str">
        <f>IF(AND('331-CT'!$E$7=TH!H1226,OR(L1226="331",M1226="331")),"x","")</f>
        <v/>
      </c>
      <c r="O1226" s="55" t="str">
        <f>IF(AND($B1226&gt;='111'!$N$11,$B1226&lt;='111'!$O$11,OR($L1226=$O$7,$M1226=$O$7)),"x","")</f>
        <v/>
      </c>
      <c r="P1226" s="55" t="str">
        <f>IF(AND($L1226=$O$7,$B1226&lt;'111'!$N$11),"x","")</f>
        <v>x</v>
      </c>
      <c r="Q1226" s="55" t="str">
        <f>IF(AND($M1226=$O$7,$B1226&lt;'111'!$N$11),"x","")</f>
        <v/>
      </c>
      <c r="R1226" s="55" t="str">
        <f>IF(ISERROR(FIND('112'!$M$9,G1226,1)),"",IF((AND(FIND('112'!$M$9,G1226,1)&gt;=1,$B1226&gt;='112'!$N$8,$B1226&lt;='112'!$O$8,OR($L1226='112'!$I$6,$M1226='112'!$I$6))),"x",""))</f>
        <v/>
      </c>
      <c r="S1226" s="55" t="str">
        <f>IF(ISERROR(FIND('112'!$M$9,G1226,1)),"",IF((AND(LEFT(G1226,2)=LEFT('112'!$M$9,2),B1226&lt;'112'!$N$8,$L1226='112'!$I$6)),"x",""))</f>
        <v/>
      </c>
      <c r="T1226" s="55" t="str">
        <f>IF(ISERROR(FIND('112'!$M$9,G1226,1)),"",IF((AND(RIGHT(G1226,2)=RIGHT('112'!$M$9,2),B1226&lt;'112'!$N$8,$M1226='112'!$I$6)),"x",""))</f>
        <v/>
      </c>
      <c r="U1226" s="55" t="str">
        <f>IF(AND('3411-CT'!$F$9=H1226,OR(LEFT(L1226,3)=$U$7,LEFT(M1226,3)=$U$7)),"x","")</f>
        <v/>
      </c>
      <c r="V1226" s="55" t="str">
        <f>IF(OR(TH!L1226=TH!$V$7,M1226=TH!$V$7),"x","")</f>
        <v/>
      </c>
      <c r="W1226" s="55" t="str">
        <f>IF(AND(OR(L1226="131",M1226="131"),H1226='131-CT'!$E$7),"x","")</f>
        <v/>
      </c>
      <c r="X1226" s="55" t="str">
        <f>IF(AND(B1226&gt;='IN-NX'!$P$3,B1226&lt;='IN-NX'!$Q$3,'IN-NX'!$D$7=D1226,OR(LEFT(TH!L1226,2)="15",LEFT(TH!M1226,2)="15")),"x","")</f>
        <v/>
      </c>
      <c r="Y1226" s="55" t="str">
        <f>IF(AND(OR(LEFT(TH!L1226,2)="15",LEFT(TH!M1226,2)="15"),'152-CT'!$J$8=TH!F1226),"x","")</f>
        <v/>
      </c>
      <c r="Z1226" s="55" t="str">
        <f>IF(AND(OR(LEFT(TH!L1226,2)="15",LEFT(TH!M1226,2)="15"),TK!$E$7=TH!F1226),"x","")</f>
        <v/>
      </c>
      <c r="AA1226" s="55" t="str">
        <f>IF(AND(B1226&lt;=NKC!$N$8,B1226&gt;=NKC!$M$8),"x","")</f>
        <v/>
      </c>
    </row>
    <row r="1227" spans="1:29" s="226" customFormat="1" ht="15.75" customHeight="1">
      <c r="A1227" s="219" t="str">
        <f>IF(B1227&lt;&gt;"",IF(AND(B1227&gt;=_TM1,B1227&lt;=_TM2,OR(TH!L1227="1111",TH!M1227="1111")),TH!D1227,""),"")</f>
        <v/>
      </c>
      <c r="B1227" s="36">
        <f t="shared" si="54"/>
        <v>7</v>
      </c>
      <c r="C1227" s="205">
        <f t="shared" si="53"/>
        <v>41117</v>
      </c>
      <c r="D1227" s="205"/>
      <c r="E1227" s="205">
        <v>41117</v>
      </c>
      <c r="F1227" s="206" t="s">
        <v>1428</v>
      </c>
      <c r="G1227" s="581" t="s">
        <v>1429</v>
      </c>
      <c r="H1227" s="207" t="s">
        <v>1220</v>
      </c>
      <c r="I1227" s="277">
        <v>200</v>
      </c>
      <c r="J1227" s="277">
        <v>21779</v>
      </c>
      <c r="K1227" s="38">
        <f t="shared" si="52"/>
        <v>4355800</v>
      </c>
      <c r="L1227" s="208" t="s">
        <v>49</v>
      </c>
      <c r="M1227" s="208" t="s">
        <v>208</v>
      </c>
      <c r="N1227" s="55" t="str">
        <f>IF(AND('331-CT'!$E$7=TH!H1227,OR(L1227="331",M1227="331")),"x","")</f>
        <v/>
      </c>
      <c r="O1227" s="55" t="str">
        <f>IF(AND($B1227&gt;='111'!$N$11,$B1227&lt;='111'!$O$11,OR($L1227=$O$7,$M1227=$O$7)),"x","")</f>
        <v/>
      </c>
      <c r="P1227" s="55" t="str">
        <f>IF(AND($L1227=$O$7,$B1227&lt;'111'!$N$11),"x","")</f>
        <v>x</v>
      </c>
      <c r="Q1227" s="55" t="str">
        <f>IF(AND($M1227=$O$7,$B1227&lt;'111'!$N$11),"x","")</f>
        <v/>
      </c>
      <c r="R1227" s="55" t="str">
        <f>IF(ISERROR(FIND('112'!$M$9,G1227,1)),"",IF((AND(FIND('112'!$M$9,G1227,1)&gt;=1,$B1227&gt;='112'!$N$8,$B1227&lt;='112'!$O$8,OR($L1227='112'!$I$6,$M1227='112'!$I$6))),"x",""))</f>
        <v/>
      </c>
      <c r="S1227" s="55" t="str">
        <f>IF(ISERROR(FIND('112'!$M$9,G1227,1)),"",IF((AND(LEFT(G1227,2)=LEFT('112'!$M$9,2),B1227&lt;'112'!$N$8,$L1227='112'!$I$6)),"x",""))</f>
        <v/>
      </c>
      <c r="T1227" s="55" t="str">
        <f>IF(ISERROR(FIND('112'!$M$9,G1227,1)),"",IF((AND(RIGHT(G1227,2)=RIGHT('112'!$M$9,2),B1227&lt;'112'!$N$8,$M1227='112'!$I$6)),"x",""))</f>
        <v/>
      </c>
      <c r="U1227" s="55" t="str">
        <f>IF(AND('3411-CT'!$F$9=H1227,OR(LEFT(L1227,3)=$U$7,LEFT(M1227,3)=$U$7)),"x","")</f>
        <v/>
      </c>
      <c r="V1227" s="55" t="str">
        <f>IF(OR(TH!L1227=TH!$V$7,M1227=TH!$V$7),"x","")</f>
        <v/>
      </c>
      <c r="W1227" s="55" t="str">
        <f>IF(AND(OR(L1227="131",M1227="131"),H1227='131-CT'!$E$7),"x","")</f>
        <v/>
      </c>
      <c r="X1227" s="55" t="str">
        <f>IF(AND(B1227&gt;='IN-NX'!$P$3,B1227&lt;='IN-NX'!$Q$3,'IN-NX'!$D$7=D1227,OR(LEFT(TH!L1227,2)="15",LEFT(TH!M1227,2)="15")),"x","")</f>
        <v/>
      </c>
      <c r="Y1227" s="55" t="str">
        <f>IF(AND(OR(LEFT(TH!L1227,2)="15",LEFT(TH!M1227,2)="15"),'152-CT'!$J$8=TH!F1227),"x","")</f>
        <v/>
      </c>
      <c r="Z1227" s="55" t="str">
        <f>IF(AND(OR(LEFT(TH!L1227,2)="15",LEFT(TH!M1227,2)="15"),TK!$E$7=TH!F1227),"x","")</f>
        <v/>
      </c>
      <c r="AA1227" s="55" t="str">
        <f>IF(AND(B1227&lt;=NKC!$N$8,B1227&gt;=NKC!$M$8),"x","")</f>
        <v/>
      </c>
    </row>
    <row r="1228" spans="1:29" s="226" customFormat="1" ht="15.75" customHeight="1">
      <c r="A1228" s="219" t="str">
        <f>IF(B1228&lt;&gt;"",IF(AND(B1228&gt;=_TM1,B1228&lt;=_TM2,OR(TH!L1228="1111",TH!M1228="1111")),TH!D1228,""),"")</f>
        <v/>
      </c>
      <c r="B1228" s="36">
        <f t="shared" si="54"/>
        <v>7</v>
      </c>
      <c r="C1228" s="205">
        <f t="shared" si="53"/>
        <v>41117</v>
      </c>
      <c r="D1228" s="205"/>
      <c r="E1228" s="205">
        <v>41117</v>
      </c>
      <c r="F1228" s="206" t="s">
        <v>1430</v>
      </c>
      <c r="G1228" s="581" t="s">
        <v>1429</v>
      </c>
      <c r="H1228" s="207" t="s">
        <v>1220</v>
      </c>
      <c r="I1228" s="277">
        <v>200</v>
      </c>
      <c r="J1228" s="277">
        <v>4600</v>
      </c>
      <c r="K1228" s="38">
        <f t="shared" si="52"/>
        <v>920000</v>
      </c>
      <c r="L1228" s="208" t="s">
        <v>49</v>
      </c>
      <c r="M1228" s="208" t="s">
        <v>208</v>
      </c>
      <c r="N1228" s="55" t="str">
        <f>IF(AND('331-CT'!$E$7=TH!H1228,OR(L1228="331",M1228="331")),"x","")</f>
        <v/>
      </c>
      <c r="O1228" s="55" t="str">
        <f>IF(AND($B1228&gt;='111'!$N$11,$B1228&lt;='111'!$O$11,OR($L1228=$O$7,$M1228=$O$7)),"x","")</f>
        <v/>
      </c>
      <c r="P1228" s="55" t="str">
        <f>IF(AND($L1228=$O$7,$B1228&lt;'111'!$N$11),"x","")</f>
        <v>x</v>
      </c>
      <c r="Q1228" s="55" t="str">
        <f>IF(AND($M1228=$O$7,$B1228&lt;'111'!$N$11),"x","")</f>
        <v/>
      </c>
      <c r="R1228" s="55" t="str">
        <f>IF(ISERROR(FIND('112'!$M$9,G1228,1)),"",IF((AND(FIND('112'!$M$9,G1228,1)&gt;=1,$B1228&gt;='112'!$N$8,$B1228&lt;='112'!$O$8,OR($L1228='112'!$I$6,$M1228='112'!$I$6))),"x",""))</f>
        <v/>
      </c>
      <c r="S1228" s="55" t="str">
        <f>IF(ISERROR(FIND('112'!$M$9,G1228,1)),"",IF((AND(LEFT(G1228,2)=LEFT('112'!$M$9,2),B1228&lt;'112'!$N$8,$L1228='112'!$I$6)),"x",""))</f>
        <v/>
      </c>
      <c r="T1228" s="55" t="str">
        <f>IF(ISERROR(FIND('112'!$M$9,G1228,1)),"",IF((AND(RIGHT(G1228,2)=RIGHT('112'!$M$9,2),B1228&lt;'112'!$N$8,$M1228='112'!$I$6)),"x",""))</f>
        <v/>
      </c>
      <c r="U1228" s="55" t="str">
        <f>IF(AND('3411-CT'!$F$9=H1228,OR(LEFT(L1228,3)=$U$7,LEFT(M1228,3)=$U$7)),"x","")</f>
        <v/>
      </c>
      <c r="V1228" s="55" t="str">
        <f>IF(OR(TH!L1228=TH!$V$7,M1228=TH!$V$7),"x","")</f>
        <v/>
      </c>
      <c r="W1228" s="55" t="str">
        <f>IF(AND(OR(L1228="131",M1228="131"),H1228='131-CT'!$E$7),"x","")</f>
        <v/>
      </c>
      <c r="X1228" s="55" t="str">
        <f>IF(AND(B1228&gt;='IN-NX'!$P$3,B1228&lt;='IN-NX'!$Q$3,'IN-NX'!$D$7=D1228,OR(LEFT(TH!L1228,2)="15",LEFT(TH!M1228,2)="15")),"x","")</f>
        <v/>
      </c>
      <c r="Y1228" s="55" t="str">
        <f>IF(AND(OR(LEFT(TH!L1228,2)="15",LEFT(TH!M1228,2)="15"),'152-CT'!$J$8=TH!F1228),"x","")</f>
        <v/>
      </c>
      <c r="Z1228" s="55" t="str">
        <f>IF(AND(OR(LEFT(TH!L1228,2)="15",LEFT(TH!M1228,2)="15"),TK!$E$7=TH!F1228),"x","")</f>
        <v/>
      </c>
      <c r="AA1228" s="55" t="str">
        <f>IF(AND(B1228&lt;=NKC!$N$8,B1228&gt;=NKC!$M$8),"x","")</f>
        <v/>
      </c>
    </row>
    <row r="1229" spans="1:29" s="226" customFormat="1" ht="15.75" customHeight="1">
      <c r="A1229" s="219" t="str">
        <f>IF(B1229&lt;&gt;"",IF(AND(B1229&gt;=_TM1,B1229&lt;=_TM2,OR(TH!L1229="1111",TH!M1229="1111")),TH!D1229,""),"")</f>
        <v/>
      </c>
      <c r="B1229" s="36">
        <f t="shared" si="54"/>
        <v>7</v>
      </c>
      <c r="C1229" s="205">
        <f t="shared" si="53"/>
        <v>41117</v>
      </c>
      <c r="D1229" s="205"/>
      <c r="E1229" s="205">
        <v>41117</v>
      </c>
      <c r="F1229" s="206" t="s">
        <v>1185</v>
      </c>
      <c r="G1229" s="581" t="s">
        <v>1429</v>
      </c>
      <c r="H1229" s="207" t="s">
        <v>1220</v>
      </c>
      <c r="I1229" s="277"/>
      <c r="J1229" s="277"/>
      <c r="K1229" s="38">
        <v>527580</v>
      </c>
      <c r="L1229" s="208" t="s">
        <v>49</v>
      </c>
      <c r="M1229" s="208" t="s">
        <v>549</v>
      </c>
      <c r="N1229" s="55" t="str">
        <f>IF(AND('331-CT'!$E$7=TH!H1229,OR(L1229="331",M1229="331")),"x","")</f>
        <v/>
      </c>
      <c r="O1229" s="55" t="str">
        <f>IF(AND($B1229&gt;='111'!$N$11,$B1229&lt;='111'!$O$11,OR($L1229=$O$7,$M1229=$O$7)),"x","")</f>
        <v/>
      </c>
      <c r="P1229" s="55" t="str">
        <f>IF(AND($L1229=$O$7,$B1229&lt;'111'!$N$11),"x","")</f>
        <v>x</v>
      </c>
      <c r="Q1229" s="55" t="str">
        <f>IF(AND($M1229=$O$7,$B1229&lt;'111'!$N$11),"x","")</f>
        <v/>
      </c>
      <c r="R1229" s="55" t="str">
        <f>IF(ISERROR(FIND('112'!$M$9,G1229,1)),"",IF((AND(FIND('112'!$M$9,G1229,1)&gt;=1,$B1229&gt;='112'!$N$8,$B1229&lt;='112'!$O$8,OR($L1229='112'!$I$6,$M1229='112'!$I$6))),"x",""))</f>
        <v/>
      </c>
      <c r="S1229" s="55" t="str">
        <f>IF(ISERROR(FIND('112'!$M$9,G1229,1)),"",IF((AND(LEFT(G1229,2)=LEFT('112'!$M$9,2),B1229&lt;'112'!$N$8,$L1229='112'!$I$6)),"x",""))</f>
        <v/>
      </c>
      <c r="T1229" s="55" t="str">
        <f>IF(ISERROR(FIND('112'!$M$9,G1229,1)),"",IF((AND(RIGHT(G1229,2)=RIGHT('112'!$M$9,2),B1229&lt;'112'!$N$8,$M1229='112'!$I$6)),"x",""))</f>
        <v/>
      </c>
      <c r="U1229" s="55" t="str">
        <f>IF(AND('3411-CT'!$F$9=H1229,OR(LEFT(L1229,3)=$U$7,LEFT(M1229,3)=$U$7)),"x","")</f>
        <v/>
      </c>
      <c r="V1229" s="55" t="str">
        <f>IF(OR(TH!L1229=TH!$V$7,M1229=TH!$V$7),"x","")</f>
        <v/>
      </c>
      <c r="W1229" s="55" t="str">
        <f>IF(AND(OR(L1229="131",M1229="131"),H1229='131-CT'!$E$7),"x","")</f>
        <v/>
      </c>
      <c r="X1229" s="55" t="str">
        <f>IF(AND(B1229&gt;='IN-NX'!$P$3,B1229&lt;='IN-NX'!$Q$3,'IN-NX'!$D$7=D1229,OR(LEFT(TH!L1229,2)="15",LEFT(TH!M1229,2)="15")),"x","")</f>
        <v/>
      </c>
      <c r="Y1229" s="55" t="str">
        <f>IF(AND(OR(LEFT(TH!L1229,2)="15",LEFT(TH!M1229,2)="15"),'152-CT'!$J$8=TH!F1229),"x","")</f>
        <v/>
      </c>
      <c r="Z1229" s="55" t="str">
        <f>IF(AND(OR(LEFT(TH!L1229,2)="15",LEFT(TH!M1229,2)="15"),TK!$E$7=TH!F1229),"x","")</f>
        <v/>
      </c>
      <c r="AA1229" s="55" t="str">
        <f>IF(AND(B1229&lt;=NKC!$N$8,B1229&gt;=NKC!$M$8),"x","")</f>
        <v/>
      </c>
    </row>
    <row r="1230" spans="1:29" s="226" customFormat="1" ht="15.75" customHeight="1">
      <c r="A1230" s="219" t="str">
        <f>IF(B1230&lt;&gt;"",IF(AND(B1230&gt;=_TM1,B1230&lt;=_TM2,OR(TH!L1230="1111",TH!M1230="1111")),TH!D1230,""),"")</f>
        <v/>
      </c>
      <c r="B1230" s="36">
        <f t="shared" si="54"/>
        <v>2</v>
      </c>
      <c r="C1230" s="205">
        <f t="shared" si="53"/>
        <v>40966</v>
      </c>
      <c r="D1230" s="205"/>
      <c r="E1230" s="205">
        <v>40966</v>
      </c>
      <c r="F1230" s="206" t="s">
        <v>1431</v>
      </c>
      <c r="G1230" s="581" t="s">
        <v>1432</v>
      </c>
      <c r="H1230" s="7" t="s">
        <v>1131</v>
      </c>
      <c r="I1230" s="277">
        <v>504</v>
      </c>
      <c r="J1230" s="277">
        <v>10900</v>
      </c>
      <c r="K1230" s="38">
        <f t="shared" si="52"/>
        <v>5493600</v>
      </c>
      <c r="L1230" s="208" t="s">
        <v>311</v>
      </c>
      <c r="M1230" s="208" t="s">
        <v>208</v>
      </c>
      <c r="N1230" s="55" t="str">
        <f>IF(AND('331-CT'!$E$7=TH!H1230,OR(L1230="331",M1230="331")),"x","")</f>
        <v/>
      </c>
      <c r="O1230" s="55" t="str">
        <f>IF(AND($B1230&gt;='111'!$N$11,$B1230&lt;='111'!$O$11,OR($L1230=$O$7,$M1230=$O$7)),"x","")</f>
        <v/>
      </c>
      <c r="P1230" s="55" t="str">
        <f>IF(AND($L1230=$O$7,$B1230&lt;'111'!$N$11),"x","")</f>
        <v/>
      </c>
      <c r="Q1230" s="55" t="str">
        <f>IF(AND($M1230=$O$7,$B1230&lt;'111'!$N$11),"x","")</f>
        <v/>
      </c>
      <c r="R1230" s="55" t="str">
        <f>IF(ISERROR(FIND('112'!$M$9,G1230,1)),"",IF((AND(FIND('112'!$M$9,G1230,1)&gt;=1,$B1230&gt;='112'!$N$8,$B1230&lt;='112'!$O$8,OR($L1230='112'!$I$6,$M1230='112'!$I$6))),"x",""))</f>
        <v/>
      </c>
      <c r="S1230" s="55" t="str">
        <f>IF(ISERROR(FIND('112'!$M$9,G1230,1)),"",IF((AND(LEFT(G1230,2)=LEFT('112'!$M$9,2),B1230&lt;'112'!$N$8,$L1230='112'!$I$6)),"x",""))</f>
        <v/>
      </c>
      <c r="T1230" s="55" t="str">
        <f>IF(ISERROR(FIND('112'!$M$9,G1230,1)),"",IF((AND(RIGHT(G1230,2)=RIGHT('112'!$M$9,2),B1230&lt;'112'!$N$8,$M1230='112'!$I$6)),"x",""))</f>
        <v/>
      </c>
      <c r="U1230" s="55" t="str">
        <f>IF(AND('3411-CT'!$F$9=H1230,OR(LEFT(L1230,3)=$U$7,LEFT(M1230,3)=$U$7)),"x","")</f>
        <v/>
      </c>
      <c r="V1230" s="55" t="str">
        <f>IF(OR(TH!L1230=TH!$V$7,M1230=TH!$V$7),"x","")</f>
        <v/>
      </c>
      <c r="W1230" s="55" t="str">
        <f>IF(AND(OR(L1230="131",M1230="131"),H1230='131-CT'!$E$7),"x","")</f>
        <v/>
      </c>
      <c r="X1230" s="55" t="str">
        <f>IF(AND(B1230&gt;='IN-NX'!$P$3,B1230&lt;='IN-NX'!$Q$3,'IN-NX'!$D$7=D1230,OR(LEFT(TH!L1230,2)="15",LEFT(TH!M1230,2)="15")),"x","")</f>
        <v/>
      </c>
      <c r="Y1230" s="55" t="str">
        <f>IF(AND(OR(LEFT(TH!L1230,2)="15",LEFT(TH!M1230,2)="15"),'152-CT'!$J$8=TH!F1230),"x","")</f>
        <v/>
      </c>
      <c r="Z1230" s="55" t="str">
        <f>IF(AND(OR(LEFT(TH!L1230,2)="15",LEFT(TH!M1230,2)="15"),TK!$E$7=TH!F1230),"x","")</f>
        <v/>
      </c>
      <c r="AA1230" s="55" t="str">
        <f>IF(AND(B1230&lt;=NKC!$N$8,B1230&gt;=NKC!$M$8),"x","")</f>
        <v/>
      </c>
    </row>
    <row r="1231" spans="1:29" s="226" customFormat="1" ht="15.75" customHeight="1">
      <c r="A1231" s="219" t="str">
        <f>IF(B1231&lt;&gt;"",IF(AND(B1231&gt;=_TM1,B1231&lt;=_TM2,OR(TH!L1231="1111",TH!M1231="1111")),TH!D1231,""),"")</f>
        <v/>
      </c>
      <c r="B1231" s="36">
        <f t="shared" si="54"/>
        <v>2</v>
      </c>
      <c r="C1231" s="205">
        <f t="shared" si="53"/>
        <v>40966</v>
      </c>
      <c r="D1231" s="205"/>
      <c r="E1231" s="205">
        <v>40966</v>
      </c>
      <c r="F1231" s="206" t="s">
        <v>1185</v>
      </c>
      <c r="G1231" s="581" t="s">
        <v>1432</v>
      </c>
      <c r="H1231" s="7" t="s">
        <v>1131</v>
      </c>
      <c r="I1231" s="277"/>
      <c r="J1231" s="277"/>
      <c r="K1231" s="38">
        <v>549360</v>
      </c>
      <c r="L1231" s="208" t="s">
        <v>311</v>
      </c>
      <c r="M1231" s="208" t="s">
        <v>549</v>
      </c>
      <c r="N1231" s="55" t="str">
        <f>IF(AND('331-CT'!$E$7=TH!H1231,OR(L1231="331",M1231="331")),"x","")</f>
        <v/>
      </c>
      <c r="O1231" s="55" t="str">
        <f>IF(AND($B1231&gt;='111'!$N$11,$B1231&lt;='111'!$O$11,OR($L1231=$O$7,$M1231=$O$7)),"x","")</f>
        <v/>
      </c>
      <c r="P1231" s="55" t="str">
        <f>IF(AND($L1231=$O$7,$B1231&lt;'111'!$N$11),"x","")</f>
        <v/>
      </c>
      <c r="Q1231" s="55" t="str">
        <f>IF(AND($M1231=$O$7,$B1231&lt;'111'!$N$11),"x","")</f>
        <v/>
      </c>
      <c r="R1231" s="55" t="str">
        <f>IF(ISERROR(FIND('112'!$M$9,G1231,1)),"",IF((AND(FIND('112'!$M$9,G1231,1)&gt;=1,$B1231&gt;='112'!$N$8,$B1231&lt;='112'!$O$8,OR($L1231='112'!$I$6,$M1231='112'!$I$6))),"x",""))</f>
        <v/>
      </c>
      <c r="S1231" s="55" t="str">
        <f>IF(ISERROR(FIND('112'!$M$9,G1231,1)),"",IF((AND(LEFT(G1231,2)=LEFT('112'!$M$9,2),B1231&lt;'112'!$N$8,$L1231='112'!$I$6)),"x",""))</f>
        <v/>
      </c>
      <c r="T1231" s="55" t="str">
        <f>IF(ISERROR(FIND('112'!$M$9,G1231,1)),"",IF((AND(RIGHT(G1231,2)=RIGHT('112'!$M$9,2),B1231&lt;'112'!$N$8,$M1231='112'!$I$6)),"x",""))</f>
        <v/>
      </c>
      <c r="U1231" s="55" t="str">
        <f>IF(AND('3411-CT'!$F$9=H1231,OR(LEFT(L1231,3)=$U$7,LEFT(M1231,3)=$U$7)),"x","")</f>
        <v/>
      </c>
      <c r="V1231" s="55" t="str">
        <f>IF(OR(TH!L1231=TH!$V$7,M1231=TH!$V$7),"x","")</f>
        <v/>
      </c>
      <c r="W1231" s="55" t="str">
        <f>IF(AND(OR(L1231="131",M1231="131"),H1231='131-CT'!$E$7),"x","")</f>
        <v/>
      </c>
      <c r="X1231" s="55" t="str">
        <f>IF(AND(B1231&gt;='IN-NX'!$P$3,B1231&lt;='IN-NX'!$Q$3,'IN-NX'!$D$7=D1231,OR(LEFT(TH!L1231,2)="15",LEFT(TH!M1231,2)="15")),"x","")</f>
        <v/>
      </c>
      <c r="Y1231" s="55" t="str">
        <f>IF(AND(OR(LEFT(TH!L1231,2)="15",LEFT(TH!M1231,2)="15"),'152-CT'!$J$8=TH!F1231),"x","")</f>
        <v/>
      </c>
      <c r="Z1231" s="55" t="str">
        <f>IF(AND(OR(LEFT(TH!L1231,2)="15",LEFT(TH!M1231,2)="15"),TK!$E$7=TH!F1231),"x","")</f>
        <v/>
      </c>
      <c r="AA1231" s="55" t="str">
        <f>IF(AND(B1231&lt;=NKC!$N$8,B1231&gt;=NKC!$M$8),"x","")</f>
        <v/>
      </c>
    </row>
    <row r="1232" spans="1:29" s="226" customFormat="1" ht="15.75" customHeight="1">
      <c r="A1232" s="219" t="str">
        <f>IF(B1232&lt;&gt;"",IF(AND(B1232&gt;=_TM1,B1232&lt;=_TM2,OR(TH!L1232="1111",TH!M1232="1111")),TH!D1232,""),"")</f>
        <v/>
      </c>
      <c r="B1232" s="36">
        <f t="shared" si="54"/>
        <v>7</v>
      </c>
      <c r="C1232" s="205">
        <f t="shared" si="53"/>
        <v>41118</v>
      </c>
      <c r="D1232" s="205"/>
      <c r="E1232" s="205">
        <v>41118</v>
      </c>
      <c r="F1232" s="206" t="s">
        <v>1183</v>
      </c>
      <c r="G1232" s="581" t="s">
        <v>1433</v>
      </c>
      <c r="H1232" s="207" t="s">
        <v>1434</v>
      </c>
      <c r="I1232" s="277">
        <v>500</v>
      </c>
      <c r="J1232" s="277">
        <v>3000</v>
      </c>
      <c r="K1232" s="38">
        <f t="shared" si="52"/>
        <v>1500000</v>
      </c>
      <c r="L1232" s="208" t="s">
        <v>49</v>
      </c>
      <c r="M1232" s="208" t="s">
        <v>208</v>
      </c>
      <c r="N1232" s="55" t="str">
        <f>IF(AND('331-CT'!$E$7=TH!H1232,OR(L1232="331",M1232="331")),"x","")</f>
        <v/>
      </c>
      <c r="O1232" s="55" t="str">
        <f>IF(AND($B1232&gt;='111'!$N$11,$B1232&lt;='111'!$O$11,OR($L1232=$O$7,$M1232=$O$7)),"x","")</f>
        <v/>
      </c>
      <c r="P1232" s="55" t="str">
        <f>IF(AND($L1232=$O$7,$B1232&lt;'111'!$N$11),"x","")</f>
        <v>x</v>
      </c>
      <c r="Q1232" s="55" t="str">
        <f>IF(AND($M1232=$O$7,$B1232&lt;'111'!$N$11),"x","")</f>
        <v/>
      </c>
      <c r="R1232" s="55" t="str">
        <f>IF(ISERROR(FIND('112'!$M$9,G1232,1)),"",IF((AND(FIND('112'!$M$9,G1232,1)&gt;=1,$B1232&gt;='112'!$N$8,$B1232&lt;='112'!$O$8,OR($L1232='112'!$I$6,$M1232='112'!$I$6))),"x",""))</f>
        <v/>
      </c>
      <c r="S1232" s="55" t="str">
        <f>IF(ISERROR(FIND('112'!$M$9,G1232,1)),"",IF((AND(LEFT(G1232,2)=LEFT('112'!$M$9,2),B1232&lt;'112'!$N$8,$L1232='112'!$I$6)),"x",""))</f>
        <v/>
      </c>
      <c r="T1232" s="55" t="str">
        <f>IF(ISERROR(FIND('112'!$M$9,G1232,1)),"",IF((AND(RIGHT(G1232,2)=RIGHT('112'!$M$9,2),B1232&lt;'112'!$N$8,$M1232='112'!$I$6)),"x",""))</f>
        <v/>
      </c>
      <c r="U1232" s="55" t="str">
        <f>IF(AND('3411-CT'!$F$9=H1232,OR(LEFT(L1232,3)=$U$7,LEFT(M1232,3)=$U$7)),"x","")</f>
        <v/>
      </c>
      <c r="V1232" s="55" t="str">
        <f>IF(OR(TH!L1232=TH!$V$7,M1232=TH!$V$7),"x","")</f>
        <v/>
      </c>
      <c r="W1232" s="55" t="str">
        <f>IF(AND(OR(L1232="131",M1232="131"),H1232='131-CT'!$E$7),"x","")</f>
        <v/>
      </c>
      <c r="X1232" s="55" t="str">
        <f>IF(AND(B1232&gt;='IN-NX'!$P$3,B1232&lt;='IN-NX'!$Q$3,'IN-NX'!$D$7=D1232,OR(LEFT(TH!L1232,2)="15",LEFT(TH!M1232,2)="15")),"x","")</f>
        <v/>
      </c>
      <c r="Y1232" s="55" t="str">
        <f>IF(AND(OR(LEFT(TH!L1232,2)="15",LEFT(TH!M1232,2)="15"),'152-CT'!$J$8=TH!F1232),"x","")</f>
        <v/>
      </c>
      <c r="Z1232" s="55" t="str">
        <f>IF(AND(OR(LEFT(TH!L1232,2)="15",LEFT(TH!M1232,2)="15"),TK!$E$7=TH!F1232),"x","")</f>
        <v/>
      </c>
      <c r="AA1232" s="55" t="str">
        <f>IF(AND(B1232&lt;=NKC!$N$8,B1232&gt;=NKC!$M$8),"x","")</f>
        <v/>
      </c>
    </row>
    <row r="1233" spans="1:29" s="226" customFormat="1" ht="15.75" customHeight="1">
      <c r="A1233" s="219" t="str">
        <f>IF(B1233&lt;&gt;"",IF(AND(B1233&gt;=_TM1,B1233&lt;=_TM2,OR(TH!L1233="1111",TH!M1233="1111")),TH!D1233,""),"")</f>
        <v/>
      </c>
      <c r="B1233" s="36">
        <f t="shared" si="54"/>
        <v>7</v>
      </c>
      <c r="C1233" s="205">
        <f t="shared" si="53"/>
        <v>41118</v>
      </c>
      <c r="D1233" s="205"/>
      <c r="E1233" s="205">
        <v>41118</v>
      </c>
      <c r="F1233" s="206" t="s">
        <v>1185</v>
      </c>
      <c r="G1233" s="581" t="s">
        <v>1433</v>
      </c>
      <c r="H1233" s="207" t="s">
        <v>1434</v>
      </c>
      <c r="I1233" s="277"/>
      <c r="J1233" s="277"/>
      <c r="K1233" s="38">
        <v>150000</v>
      </c>
      <c r="L1233" s="208" t="s">
        <v>49</v>
      </c>
      <c r="M1233" s="208" t="s">
        <v>549</v>
      </c>
      <c r="N1233" s="55" t="str">
        <f>IF(AND('331-CT'!$E$7=TH!H1233,OR(L1233="331",M1233="331")),"x","")</f>
        <v/>
      </c>
      <c r="O1233" s="55" t="str">
        <f>IF(AND($B1233&gt;='111'!$N$11,$B1233&lt;='111'!$O$11,OR($L1233=$O$7,$M1233=$O$7)),"x","")</f>
        <v/>
      </c>
      <c r="P1233" s="55" t="str">
        <f>IF(AND($L1233=$O$7,$B1233&lt;'111'!$N$11),"x","")</f>
        <v>x</v>
      </c>
      <c r="Q1233" s="55" t="str">
        <f>IF(AND($M1233=$O$7,$B1233&lt;'111'!$N$11),"x","")</f>
        <v/>
      </c>
      <c r="R1233" s="55" t="str">
        <f>IF(ISERROR(FIND('112'!$M$9,G1233,1)),"",IF((AND(FIND('112'!$M$9,G1233,1)&gt;=1,$B1233&gt;='112'!$N$8,$B1233&lt;='112'!$O$8,OR($L1233='112'!$I$6,$M1233='112'!$I$6))),"x",""))</f>
        <v/>
      </c>
      <c r="S1233" s="55" t="str">
        <f>IF(ISERROR(FIND('112'!$M$9,G1233,1)),"",IF((AND(LEFT(G1233,2)=LEFT('112'!$M$9,2),B1233&lt;'112'!$N$8,$L1233='112'!$I$6)),"x",""))</f>
        <v/>
      </c>
      <c r="T1233" s="55" t="str">
        <f>IF(ISERROR(FIND('112'!$M$9,G1233,1)),"",IF((AND(RIGHT(G1233,2)=RIGHT('112'!$M$9,2),B1233&lt;'112'!$N$8,$M1233='112'!$I$6)),"x",""))</f>
        <v/>
      </c>
      <c r="U1233" s="55" t="str">
        <f>IF(AND('3411-CT'!$F$9=H1233,OR(LEFT(L1233,3)=$U$7,LEFT(M1233,3)=$U$7)),"x","")</f>
        <v/>
      </c>
      <c r="V1233" s="55" t="str">
        <f>IF(OR(TH!L1233=TH!$V$7,M1233=TH!$V$7),"x","")</f>
        <v/>
      </c>
      <c r="W1233" s="55" t="str">
        <f>IF(AND(OR(L1233="131",M1233="131"),H1233='131-CT'!$E$7),"x","")</f>
        <v/>
      </c>
      <c r="X1233" s="55" t="str">
        <f>IF(AND(B1233&gt;='IN-NX'!$P$3,B1233&lt;='IN-NX'!$Q$3,'IN-NX'!$D$7=D1233,OR(LEFT(TH!L1233,2)="15",LEFT(TH!M1233,2)="15")),"x","")</f>
        <v/>
      </c>
      <c r="Y1233" s="55" t="str">
        <f>IF(AND(OR(LEFT(TH!L1233,2)="15",LEFT(TH!M1233,2)="15"),'152-CT'!$J$8=TH!F1233),"x","")</f>
        <v/>
      </c>
      <c r="Z1233" s="55" t="str">
        <f>IF(AND(OR(LEFT(TH!L1233,2)="15",LEFT(TH!M1233,2)="15"),TK!$E$7=TH!F1233),"x","")</f>
        <v/>
      </c>
      <c r="AA1233" s="55" t="str">
        <f>IF(AND(B1233&lt;=NKC!$N$8,B1233&gt;=NKC!$M$8),"x","")</f>
        <v/>
      </c>
    </row>
    <row r="1234" spans="1:29" s="226" customFormat="1" ht="15.75" customHeight="1">
      <c r="A1234" s="219" t="str">
        <f>IF(B1234&lt;&gt;"",IF(AND(B1234&gt;=_TM1,B1234&lt;=_TM2,OR(TH!L1234="1111",TH!M1234="1111")),TH!D1234,""),"")</f>
        <v/>
      </c>
      <c r="B1234" s="36">
        <f t="shared" si="54"/>
        <v>7</v>
      </c>
      <c r="C1234" s="205">
        <f t="shared" si="53"/>
        <v>41118</v>
      </c>
      <c r="D1234" s="205"/>
      <c r="E1234" s="205">
        <v>41118</v>
      </c>
      <c r="F1234" s="206" t="s">
        <v>1183</v>
      </c>
      <c r="G1234" s="581" t="s">
        <v>1435</v>
      </c>
      <c r="H1234" s="7" t="s">
        <v>1553</v>
      </c>
      <c r="I1234" s="277"/>
      <c r="J1234" s="277"/>
      <c r="K1234" s="38">
        <v>5533657</v>
      </c>
      <c r="L1234" s="208" t="s">
        <v>311</v>
      </c>
      <c r="M1234" s="208" t="s">
        <v>208</v>
      </c>
      <c r="N1234" s="55" t="str">
        <f>IF(AND('331-CT'!$E$7=TH!H1234,OR(L1234="331",M1234="331")),"x","")</f>
        <v/>
      </c>
      <c r="O1234" s="55" t="str">
        <f>IF(AND($B1234&gt;='111'!$N$11,$B1234&lt;='111'!$O$11,OR($L1234=$O$7,$M1234=$O$7)),"x","")</f>
        <v/>
      </c>
      <c r="P1234" s="55" t="str">
        <f>IF(AND($L1234=$O$7,$B1234&lt;'111'!$N$11),"x","")</f>
        <v/>
      </c>
      <c r="Q1234" s="55" t="str">
        <f>IF(AND($M1234=$O$7,$B1234&lt;'111'!$N$11),"x","")</f>
        <v/>
      </c>
      <c r="R1234" s="55" t="str">
        <f>IF(ISERROR(FIND('112'!$M$9,G1234,1)),"",IF((AND(FIND('112'!$M$9,G1234,1)&gt;=1,$B1234&gt;='112'!$N$8,$B1234&lt;='112'!$O$8,OR($L1234='112'!$I$6,$M1234='112'!$I$6))),"x",""))</f>
        <v/>
      </c>
      <c r="S1234" s="55" t="str">
        <f>IF(ISERROR(FIND('112'!$M$9,G1234,1)),"",IF((AND(LEFT(G1234,2)=LEFT('112'!$M$9,2),B1234&lt;'112'!$N$8,$L1234='112'!$I$6)),"x",""))</f>
        <v/>
      </c>
      <c r="T1234" s="55" t="str">
        <f>IF(ISERROR(FIND('112'!$M$9,G1234,1)),"",IF((AND(RIGHT(G1234,2)=RIGHT('112'!$M$9,2),B1234&lt;'112'!$N$8,$M1234='112'!$I$6)),"x",""))</f>
        <v/>
      </c>
      <c r="U1234" s="55" t="str">
        <f>IF(AND('3411-CT'!$F$9=H1234,OR(LEFT(L1234,3)=$U$7,LEFT(M1234,3)=$U$7)),"x","")</f>
        <v/>
      </c>
      <c r="V1234" s="55" t="str">
        <f>IF(OR(TH!L1234=TH!$V$7,M1234=TH!$V$7),"x","")</f>
        <v/>
      </c>
      <c r="W1234" s="55" t="str">
        <f>IF(AND(OR(L1234="131",M1234="131"),H1234='131-CT'!$E$7),"x","")</f>
        <v/>
      </c>
      <c r="X1234" s="55" t="str">
        <f>IF(AND(B1234&gt;='IN-NX'!$P$3,B1234&lt;='IN-NX'!$Q$3,'IN-NX'!$D$7=D1234,OR(LEFT(TH!L1234,2)="15",LEFT(TH!M1234,2)="15")),"x","")</f>
        <v/>
      </c>
      <c r="Y1234" s="55" t="str">
        <f>IF(AND(OR(LEFT(TH!L1234,2)="15",LEFT(TH!M1234,2)="15"),'152-CT'!$J$8=TH!F1234),"x","")</f>
        <v/>
      </c>
      <c r="Z1234" s="55" t="str">
        <f>IF(AND(OR(LEFT(TH!L1234,2)="15",LEFT(TH!M1234,2)="15"),TK!$E$7=TH!F1234),"x","")</f>
        <v/>
      </c>
      <c r="AA1234" s="55" t="str">
        <f>IF(AND(B1234&lt;=NKC!$N$8,B1234&gt;=NKC!$M$8),"x","")</f>
        <v/>
      </c>
    </row>
    <row r="1235" spans="1:29" ht="15.75" customHeight="1">
      <c r="A1235" s="219" t="str">
        <f>IF(B1235&lt;&gt;"",IF(AND(B1235&gt;=_TM1,B1235&lt;=_TM2,OR(TH!L1235="1111",TH!M1235="1111")),TH!D1235,""),"")</f>
        <v/>
      </c>
      <c r="B1235" s="36">
        <f t="shared" si="54"/>
        <v>7</v>
      </c>
      <c r="C1235" s="205">
        <f t="shared" si="53"/>
        <v>41118</v>
      </c>
      <c r="D1235" s="205"/>
      <c r="E1235" s="205">
        <v>41118</v>
      </c>
      <c r="F1235" s="206" t="s">
        <v>1185</v>
      </c>
      <c r="G1235" s="581" t="s">
        <v>1435</v>
      </c>
      <c r="H1235" s="7" t="s">
        <v>1553</v>
      </c>
      <c r="I1235" s="277"/>
      <c r="J1235" s="277"/>
      <c r="K1235" s="38">
        <v>553366</v>
      </c>
      <c r="L1235" s="208" t="s">
        <v>311</v>
      </c>
      <c r="M1235" s="208" t="s">
        <v>549</v>
      </c>
      <c r="N1235" s="55" t="str">
        <f>IF(AND('331-CT'!$E$7=TH!H1235,OR(L1235="331",M1235="331")),"x","")</f>
        <v/>
      </c>
      <c r="O1235" s="55" t="str">
        <f>IF(AND($B1235&gt;='111'!$N$11,$B1235&lt;='111'!$O$11,OR($L1235=$O$7,$M1235=$O$7)),"x","")</f>
        <v/>
      </c>
      <c r="P1235" s="55" t="str">
        <f>IF(AND($L1235=$O$7,$B1235&lt;'111'!$N$11),"x","")</f>
        <v/>
      </c>
      <c r="Q1235" s="55" t="str">
        <f>IF(AND($M1235=$O$7,$B1235&lt;'111'!$N$11),"x","")</f>
        <v/>
      </c>
      <c r="R1235" s="55" t="str">
        <f>IF(ISERROR(FIND('112'!$M$9,G1235,1)),"",IF((AND(FIND('112'!$M$9,G1235,1)&gt;=1,$B1235&gt;='112'!$N$8,$B1235&lt;='112'!$O$8,OR($L1235='112'!$I$6,$M1235='112'!$I$6))),"x",""))</f>
        <v/>
      </c>
      <c r="S1235" s="55" t="str">
        <f>IF(ISERROR(FIND('112'!$M$9,G1235,1)),"",IF((AND(LEFT(G1235,2)=LEFT('112'!$M$9,2),B1235&lt;'112'!$N$8,$L1235='112'!$I$6)),"x",""))</f>
        <v/>
      </c>
      <c r="T1235" s="55" t="str">
        <f>IF(ISERROR(FIND('112'!$M$9,G1235,1)),"",IF((AND(RIGHT(G1235,2)=RIGHT('112'!$M$9,2),B1235&lt;'112'!$N$8,$M1235='112'!$I$6)),"x",""))</f>
        <v/>
      </c>
      <c r="U1235" s="55" t="str">
        <f>IF(AND('3411-CT'!$F$9=H1235,OR(LEFT(L1235,3)=$U$7,LEFT(M1235,3)=$U$7)),"x","")</f>
        <v/>
      </c>
      <c r="V1235" s="55" t="str">
        <f>IF(OR(TH!L1235=TH!$V$7,M1235=TH!$V$7),"x","")</f>
        <v/>
      </c>
      <c r="W1235" s="55" t="str">
        <f>IF(AND(OR(L1235="131",M1235="131"),H1235='131-CT'!$E$7),"x","")</f>
        <v/>
      </c>
      <c r="X1235" s="55" t="str">
        <f>IF(AND(B1235&gt;='IN-NX'!$P$3,B1235&lt;='IN-NX'!$Q$3,'IN-NX'!$D$7=D1235,OR(LEFT(TH!L1235,2)="15",LEFT(TH!M1235,2)="15")),"x","")</f>
        <v/>
      </c>
      <c r="Y1235" s="55" t="str">
        <f>IF(AND(OR(LEFT(TH!L1235,2)="15",LEFT(TH!M1235,2)="15"),'152-CT'!$J$8=TH!F1235),"x","")</f>
        <v/>
      </c>
      <c r="Z1235" s="55" t="str">
        <f>IF(AND(OR(LEFT(TH!L1235,2)="15",LEFT(TH!M1235,2)="15"),TK!$E$7=TH!F1235),"x","")</f>
        <v/>
      </c>
      <c r="AA1235" s="55" t="str">
        <f>IF(AND(B1235&lt;=NKC!$N$8,B1235&gt;=NKC!$M$8),"x","")</f>
        <v/>
      </c>
      <c r="AC1235" s="226"/>
    </row>
    <row r="1236" spans="1:29" ht="15.75" customHeight="1">
      <c r="A1236" s="219" t="str">
        <f>IF(B1236&lt;&gt;"",IF(AND(B1236&gt;=_TM1,B1236&lt;=_TM2,OR(TH!L1236="1111",TH!M1236="1111")),TH!D1236,""),"")</f>
        <v/>
      </c>
      <c r="B1236" s="36">
        <f t="shared" si="54"/>
        <v>7</v>
      </c>
      <c r="C1236" s="205">
        <f t="shared" si="53"/>
        <v>41121</v>
      </c>
      <c r="D1236" s="205"/>
      <c r="E1236" s="205">
        <v>41121</v>
      </c>
      <c r="F1236" s="206" t="s">
        <v>1367</v>
      </c>
      <c r="G1236" s="581" t="s">
        <v>1436</v>
      </c>
      <c r="H1236" s="207" t="s">
        <v>1256</v>
      </c>
      <c r="I1236" s="277">
        <v>890</v>
      </c>
      <c r="J1236" s="277">
        <v>8000</v>
      </c>
      <c r="K1236" s="38">
        <f t="shared" si="52"/>
        <v>7120000</v>
      </c>
      <c r="L1236" s="208" t="s">
        <v>49</v>
      </c>
      <c r="M1236" s="208" t="s">
        <v>208</v>
      </c>
      <c r="N1236" s="55" t="str">
        <f>IF(AND('331-CT'!$E$7=TH!H1236,OR(L1236="331",M1236="331")),"x","")</f>
        <v/>
      </c>
      <c r="O1236" s="55" t="str">
        <f>IF(AND($B1236&gt;='111'!$N$11,$B1236&lt;='111'!$O$11,OR($L1236=$O$7,$M1236=$O$7)),"x","")</f>
        <v/>
      </c>
      <c r="P1236" s="55" t="str">
        <f>IF(AND($L1236=$O$7,$B1236&lt;'111'!$N$11),"x","")</f>
        <v>x</v>
      </c>
      <c r="Q1236" s="55" t="str">
        <f>IF(AND($M1236=$O$7,$B1236&lt;'111'!$N$11),"x","")</f>
        <v/>
      </c>
      <c r="R1236" s="55" t="str">
        <f>IF(ISERROR(FIND('112'!$M$9,G1236,1)),"",IF((AND(FIND('112'!$M$9,G1236,1)&gt;=1,$B1236&gt;='112'!$N$8,$B1236&lt;='112'!$O$8,OR($L1236='112'!$I$6,$M1236='112'!$I$6))),"x",""))</f>
        <v/>
      </c>
      <c r="S1236" s="55" t="str">
        <f>IF(ISERROR(FIND('112'!$M$9,G1236,1)),"",IF((AND(LEFT(G1236,2)=LEFT('112'!$M$9,2),B1236&lt;'112'!$N$8,$L1236='112'!$I$6)),"x",""))</f>
        <v/>
      </c>
      <c r="T1236" s="55" t="str">
        <f>IF(ISERROR(FIND('112'!$M$9,G1236,1)),"",IF((AND(RIGHT(G1236,2)=RIGHT('112'!$M$9,2),B1236&lt;'112'!$N$8,$M1236='112'!$I$6)),"x",""))</f>
        <v/>
      </c>
      <c r="U1236" s="55" t="str">
        <f>IF(AND('3411-CT'!$F$9=H1236,OR(LEFT(L1236,3)=$U$7,LEFT(M1236,3)=$U$7)),"x","")</f>
        <v/>
      </c>
      <c r="V1236" s="55" t="str">
        <f>IF(OR(TH!L1236=TH!$V$7,M1236=TH!$V$7),"x","")</f>
        <v/>
      </c>
      <c r="W1236" s="55" t="str">
        <f>IF(AND(OR(L1236="131",M1236="131"),H1236='131-CT'!$E$7),"x","")</f>
        <v/>
      </c>
      <c r="X1236" s="55" t="str">
        <f>IF(AND(B1236&gt;='IN-NX'!$P$3,B1236&lt;='IN-NX'!$Q$3,'IN-NX'!$D$7=D1236,OR(LEFT(TH!L1236,2)="15",LEFT(TH!M1236,2)="15")),"x","")</f>
        <v/>
      </c>
      <c r="Y1236" s="55" t="str">
        <f>IF(AND(OR(LEFT(TH!L1236,2)="15",LEFT(TH!M1236,2)="15"),'152-CT'!$J$8=TH!F1236),"x","")</f>
        <v/>
      </c>
      <c r="Z1236" s="55" t="str">
        <f>IF(AND(OR(LEFT(TH!L1236,2)="15",LEFT(TH!M1236,2)="15"),TK!$E$7=TH!F1236),"x","")</f>
        <v/>
      </c>
      <c r="AA1236" s="55" t="str">
        <f>IF(AND(B1236&lt;=NKC!$N$8,B1236&gt;=NKC!$M$8),"x","")</f>
        <v/>
      </c>
    </row>
    <row r="1237" spans="1:29" ht="15.75" customHeight="1">
      <c r="A1237" s="219" t="str">
        <f>IF(B1237&lt;&gt;"",IF(AND(B1237&gt;=_TM1,B1237&lt;=_TM2,OR(TH!L1237="1111",TH!M1237="1111")),TH!D1237,""),"")</f>
        <v/>
      </c>
      <c r="B1237" s="36">
        <f t="shared" si="54"/>
        <v>7</v>
      </c>
      <c r="C1237" s="205">
        <f t="shared" si="53"/>
        <v>41121</v>
      </c>
      <c r="D1237" s="205"/>
      <c r="E1237" s="205">
        <v>41121</v>
      </c>
      <c r="F1237" s="206" t="s">
        <v>1185</v>
      </c>
      <c r="G1237" s="581" t="s">
        <v>1436</v>
      </c>
      <c r="H1237" s="207" t="s">
        <v>1256</v>
      </c>
      <c r="I1237" s="277"/>
      <c r="J1237" s="277"/>
      <c r="K1237" s="38">
        <v>712000</v>
      </c>
      <c r="L1237" s="208" t="s">
        <v>49</v>
      </c>
      <c r="M1237" s="208" t="s">
        <v>549</v>
      </c>
      <c r="N1237" s="55" t="str">
        <f>IF(AND('331-CT'!$E$7=TH!H1237,OR(L1237="331",M1237="331")),"x","")</f>
        <v/>
      </c>
      <c r="O1237" s="55" t="str">
        <f>IF(AND($B1237&gt;='111'!$N$11,$B1237&lt;='111'!$O$11,OR($L1237=$O$7,$M1237=$O$7)),"x","")</f>
        <v/>
      </c>
      <c r="P1237" s="55" t="str">
        <f>IF(AND($L1237=$O$7,$B1237&lt;'111'!$N$11),"x","")</f>
        <v>x</v>
      </c>
      <c r="Q1237" s="55" t="str">
        <f>IF(AND($M1237=$O$7,$B1237&lt;'111'!$N$11),"x","")</f>
        <v/>
      </c>
      <c r="R1237" s="55" t="str">
        <f>IF(ISERROR(FIND('112'!$M$9,G1237,1)),"",IF((AND(FIND('112'!$M$9,G1237,1)&gt;=1,$B1237&gt;='112'!$N$8,$B1237&lt;='112'!$O$8,OR($L1237='112'!$I$6,$M1237='112'!$I$6))),"x",""))</f>
        <v/>
      </c>
      <c r="S1237" s="55" t="str">
        <f>IF(ISERROR(FIND('112'!$M$9,G1237,1)),"",IF((AND(LEFT(G1237,2)=LEFT('112'!$M$9,2),B1237&lt;'112'!$N$8,$L1237='112'!$I$6)),"x",""))</f>
        <v/>
      </c>
      <c r="T1237" s="55" t="str">
        <f>IF(ISERROR(FIND('112'!$M$9,G1237,1)),"",IF((AND(RIGHT(G1237,2)=RIGHT('112'!$M$9,2),B1237&lt;'112'!$N$8,$M1237='112'!$I$6)),"x",""))</f>
        <v/>
      </c>
      <c r="U1237" s="55" t="str">
        <f>IF(AND('3411-CT'!$F$9=H1237,OR(LEFT(L1237,3)=$U$7,LEFT(M1237,3)=$U$7)),"x","")</f>
        <v/>
      </c>
      <c r="V1237" s="55" t="str">
        <f>IF(OR(TH!L1237=TH!$V$7,M1237=TH!$V$7),"x","")</f>
        <v/>
      </c>
      <c r="W1237" s="55" t="str">
        <f>IF(AND(OR(L1237="131",M1237="131"),H1237='131-CT'!$E$7),"x","")</f>
        <v/>
      </c>
      <c r="X1237" s="55" t="str">
        <f>IF(AND(B1237&gt;='IN-NX'!$P$3,B1237&lt;='IN-NX'!$Q$3,'IN-NX'!$D$7=D1237,OR(LEFT(TH!L1237,2)="15",LEFT(TH!M1237,2)="15")),"x","")</f>
        <v/>
      </c>
      <c r="Y1237" s="55" t="str">
        <f>IF(AND(OR(LEFT(TH!L1237,2)="15",LEFT(TH!M1237,2)="15"),'152-CT'!$J$8=TH!F1237),"x","")</f>
        <v/>
      </c>
      <c r="Z1237" s="55" t="str">
        <f>IF(AND(OR(LEFT(TH!L1237,2)="15",LEFT(TH!M1237,2)="15"),TK!$E$7=TH!F1237),"x","")</f>
        <v/>
      </c>
      <c r="AA1237" s="55" t="str">
        <f>IF(AND(B1237&lt;=NKC!$N$8,B1237&gt;=NKC!$M$8),"x","")</f>
        <v/>
      </c>
      <c r="AC1237" s="226"/>
    </row>
    <row r="1238" spans="1:29" ht="15.75" customHeight="1">
      <c r="A1238" s="219" t="str">
        <f>IF(B1238&lt;&gt;"",IF(AND(B1238&gt;=_TM1,B1238&lt;=_TM2,OR(TH!L1238="1111",TH!M1238="1111")),TH!D1238,""),"")</f>
        <v/>
      </c>
      <c r="B1238" s="36">
        <f t="shared" si="54"/>
        <v>8</v>
      </c>
      <c r="C1238" s="205">
        <f t="shared" si="53"/>
        <v>41122</v>
      </c>
      <c r="D1238" s="205"/>
      <c r="E1238" s="205">
        <v>41122</v>
      </c>
      <c r="F1238" s="206" t="s">
        <v>1437</v>
      </c>
      <c r="G1238" s="581" t="s">
        <v>1438</v>
      </c>
      <c r="H1238" s="207" t="s">
        <v>1207</v>
      </c>
      <c r="I1238" s="277">
        <v>75</v>
      </c>
      <c r="J1238" s="277">
        <v>6585</v>
      </c>
      <c r="K1238" s="38">
        <f t="shared" ref="K1238:K1386" si="55">ROUND(I1238*J1238,0)</f>
        <v>493875</v>
      </c>
      <c r="L1238" s="208" t="s">
        <v>49</v>
      </c>
      <c r="M1238" s="208" t="s">
        <v>208</v>
      </c>
      <c r="N1238" s="55" t="str">
        <f>IF(AND('331-CT'!$E$7=TH!H1238,OR(L1238="331",M1238="331")),"x","")</f>
        <v/>
      </c>
      <c r="O1238" s="55" t="str">
        <f>IF(AND($B1238&gt;='111'!$N$11,$B1238&lt;='111'!$O$11,OR($L1238=$O$7,$M1238=$O$7)),"x","")</f>
        <v/>
      </c>
      <c r="P1238" s="55" t="str">
        <f>IF(AND($L1238=$O$7,$B1238&lt;'111'!$N$11),"x","")</f>
        <v>x</v>
      </c>
      <c r="Q1238" s="55" t="str">
        <f>IF(AND($M1238=$O$7,$B1238&lt;'111'!$N$11),"x","")</f>
        <v/>
      </c>
      <c r="R1238" s="55" t="str">
        <f>IF(ISERROR(FIND('112'!$M$9,G1238,1)),"",IF((AND(FIND('112'!$M$9,G1238,1)&gt;=1,$B1238&gt;='112'!$N$8,$B1238&lt;='112'!$O$8,OR($L1238='112'!$I$6,$M1238='112'!$I$6))),"x",""))</f>
        <v/>
      </c>
      <c r="S1238" s="55" t="str">
        <f>IF(ISERROR(FIND('112'!$M$9,G1238,1)),"",IF((AND(LEFT(G1238,2)=LEFT('112'!$M$9,2),B1238&lt;'112'!$N$8,$L1238='112'!$I$6)),"x",""))</f>
        <v/>
      </c>
      <c r="T1238" s="55" t="str">
        <f>IF(ISERROR(FIND('112'!$M$9,G1238,1)),"",IF((AND(RIGHT(G1238,2)=RIGHT('112'!$M$9,2),B1238&lt;'112'!$N$8,$M1238='112'!$I$6)),"x",""))</f>
        <v/>
      </c>
      <c r="U1238" s="55" t="str">
        <f>IF(AND('3411-CT'!$F$9=H1238,OR(LEFT(L1238,3)=$U$7,LEFT(M1238,3)=$U$7)),"x","")</f>
        <v/>
      </c>
      <c r="V1238" s="55" t="str">
        <f>IF(OR(TH!L1238=TH!$V$7,M1238=TH!$V$7),"x","")</f>
        <v/>
      </c>
      <c r="W1238" s="55" t="str">
        <f>IF(AND(OR(L1238="131",M1238="131"),H1238='131-CT'!$E$7),"x","")</f>
        <v/>
      </c>
      <c r="X1238" s="55" t="str">
        <f>IF(AND(B1238&gt;='IN-NX'!$P$3,B1238&lt;='IN-NX'!$Q$3,'IN-NX'!$D$7=D1238,OR(LEFT(TH!L1238,2)="15",LEFT(TH!M1238,2)="15")),"x","")</f>
        <v/>
      </c>
      <c r="Y1238" s="55" t="str">
        <f>IF(AND(OR(LEFT(TH!L1238,2)="15",LEFT(TH!M1238,2)="15"),'152-CT'!$J$8=TH!F1238),"x","")</f>
        <v/>
      </c>
      <c r="Z1238" s="55" t="str">
        <f>IF(AND(OR(LEFT(TH!L1238,2)="15",LEFT(TH!M1238,2)="15"),TK!$E$7=TH!F1238),"x","")</f>
        <v/>
      </c>
      <c r="AA1238" s="55" t="str">
        <f>IF(AND(B1238&lt;=NKC!$N$8,B1238&gt;=NKC!$M$8),"x","")</f>
        <v/>
      </c>
    </row>
    <row r="1239" spans="1:29" ht="15.75" customHeight="1">
      <c r="A1239" s="219" t="str">
        <f>IF(B1239&lt;&gt;"",IF(AND(B1239&gt;=_TM1,B1239&lt;=_TM2,OR(TH!L1239="1111",TH!M1239="1111")),TH!D1239,""),"")</f>
        <v/>
      </c>
      <c r="B1239" s="36">
        <f t="shared" si="54"/>
        <v>8</v>
      </c>
      <c r="C1239" s="205">
        <f t="shared" si="53"/>
        <v>41122</v>
      </c>
      <c r="D1239" s="205"/>
      <c r="E1239" s="205">
        <v>41122</v>
      </c>
      <c r="F1239" s="206" t="s">
        <v>1439</v>
      </c>
      <c r="G1239" s="581" t="s">
        <v>1438</v>
      </c>
      <c r="H1239" s="207" t="s">
        <v>1207</v>
      </c>
      <c r="I1239" s="277">
        <v>92</v>
      </c>
      <c r="J1239" s="277">
        <v>6700</v>
      </c>
      <c r="K1239" s="38">
        <f t="shared" si="55"/>
        <v>616400</v>
      </c>
      <c r="L1239" s="208" t="s">
        <v>49</v>
      </c>
      <c r="M1239" s="208" t="s">
        <v>208</v>
      </c>
      <c r="N1239" s="55" t="str">
        <f>IF(AND('331-CT'!$E$7=TH!H1239,OR(L1239="331",M1239="331")),"x","")</f>
        <v/>
      </c>
      <c r="O1239" s="55" t="str">
        <f>IF(AND($B1239&gt;='111'!$N$11,$B1239&lt;='111'!$O$11,OR($L1239=$O$7,$M1239=$O$7)),"x","")</f>
        <v/>
      </c>
      <c r="P1239" s="55" t="str">
        <f>IF(AND($L1239=$O$7,$B1239&lt;'111'!$N$11),"x","")</f>
        <v>x</v>
      </c>
      <c r="Q1239" s="55" t="str">
        <f>IF(AND($M1239=$O$7,$B1239&lt;'111'!$N$11),"x","")</f>
        <v/>
      </c>
      <c r="R1239" s="55" t="str">
        <f>IF(ISERROR(FIND('112'!$M$9,G1239,1)),"",IF((AND(FIND('112'!$M$9,G1239,1)&gt;=1,$B1239&gt;='112'!$N$8,$B1239&lt;='112'!$O$8,OR($L1239='112'!$I$6,$M1239='112'!$I$6))),"x",""))</f>
        <v/>
      </c>
      <c r="S1239" s="55" t="str">
        <f>IF(ISERROR(FIND('112'!$M$9,G1239,1)),"",IF((AND(LEFT(G1239,2)=LEFT('112'!$M$9,2),B1239&lt;'112'!$N$8,$L1239='112'!$I$6)),"x",""))</f>
        <v/>
      </c>
      <c r="T1239" s="55" t="str">
        <f>IF(ISERROR(FIND('112'!$M$9,G1239,1)),"",IF((AND(RIGHT(G1239,2)=RIGHT('112'!$M$9,2),B1239&lt;'112'!$N$8,$M1239='112'!$I$6)),"x",""))</f>
        <v/>
      </c>
      <c r="U1239" s="55" t="str">
        <f>IF(AND('3411-CT'!$F$9=H1239,OR(LEFT(L1239,3)=$U$7,LEFT(M1239,3)=$U$7)),"x","")</f>
        <v/>
      </c>
      <c r="V1239" s="55" t="str">
        <f>IF(OR(TH!L1239=TH!$V$7,M1239=TH!$V$7),"x","")</f>
        <v/>
      </c>
      <c r="W1239" s="55" t="str">
        <f>IF(AND(OR(L1239="131",M1239="131"),H1239='131-CT'!$E$7),"x","")</f>
        <v/>
      </c>
      <c r="X1239" s="55" t="str">
        <f>IF(AND(B1239&gt;='IN-NX'!$P$3,B1239&lt;='IN-NX'!$Q$3,'IN-NX'!$D$7=D1239,OR(LEFT(TH!L1239,2)="15",LEFT(TH!M1239,2)="15")),"x","")</f>
        <v/>
      </c>
      <c r="Y1239" s="55" t="str">
        <f>IF(AND(OR(LEFT(TH!L1239,2)="15",LEFT(TH!M1239,2)="15"),'152-CT'!$J$8=TH!F1239),"x","")</f>
        <v/>
      </c>
      <c r="Z1239" s="55" t="str">
        <f>IF(AND(OR(LEFT(TH!L1239,2)="15",LEFT(TH!M1239,2)="15"),TK!$E$7=TH!F1239),"x","")</f>
        <v/>
      </c>
      <c r="AA1239" s="55" t="str">
        <f>IF(AND(B1239&lt;=NKC!$N$8,B1239&gt;=NKC!$M$8),"x","")</f>
        <v/>
      </c>
    </row>
    <row r="1240" spans="1:29" ht="15.75" customHeight="1">
      <c r="A1240" s="219" t="str">
        <f>IF(B1240&lt;&gt;"",IF(AND(B1240&gt;=_TM1,B1240&lt;=_TM2,OR(TH!L1240="1111",TH!M1240="1111")),TH!D1240,""),"")</f>
        <v/>
      </c>
      <c r="B1240" s="36">
        <f t="shared" si="54"/>
        <v>8</v>
      </c>
      <c r="C1240" s="205">
        <f t="shared" si="53"/>
        <v>41122</v>
      </c>
      <c r="D1240" s="205"/>
      <c r="E1240" s="205">
        <v>41122</v>
      </c>
      <c r="F1240" s="206" t="s">
        <v>1185</v>
      </c>
      <c r="G1240" s="581" t="s">
        <v>1438</v>
      </c>
      <c r="H1240" s="207" t="s">
        <v>1207</v>
      </c>
      <c r="I1240" s="277"/>
      <c r="J1240" s="277"/>
      <c r="K1240" s="38">
        <v>111028</v>
      </c>
      <c r="L1240" s="208" t="s">
        <v>49</v>
      </c>
      <c r="M1240" s="208" t="s">
        <v>549</v>
      </c>
      <c r="N1240" s="55" t="str">
        <f>IF(AND('331-CT'!$E$7=TH!H1240,OR(L1240="331",M1240="331")),"x","")</f>
        <v/>
      </c>
      <c r="O1240" s="55" t="str">
        <f>IF(AND($B1240&gt;='111'!$N$11,$B1240&lt;='111'!$O$11,OR($L1240=$O$7,$M1240=$O$7)),"x","")</f>
        <v/>
      </c>
      <c r="P1240" s="55" t="str">
        <f>IF(AND($L1240=$O$7,$B1240&lt;'111'!$N$11),"x","")</f>
        <v>x</v>
      </c>
      <c r="Q1240" s="55" t="str">
        <f>IF(AND($M1240=$O$7,$B1240&lt;'111'!$N$11),"x","")</f>
        <v/>
      </c>
      <c r="R1240" s="55" t="str">
        <f>IF(ISERROR(FIND('112'!$M$9,G1240,1)),"",IF((AND(FIND('112'!$M$9,G1240,1)&gt;=1,$B1240&gt;='112'!$N$8,$B1240&lt;='112'!$O$8,OR($L1240='112'!$I$6,$M1240='112'!$I$6))),"x",""))</f>
        <v/>
      </c>
      <c r="S1240" s="55" t="str">
        <f>IF(ISERROR(FIND('112'!$M$9,G1240,1)),"",IF((AND(LEFT(G1240,2)=LEFT('112'!$M$9,2),B1240&lt;'112'!$N$8,$L1240='112'!$I$6)),"x",""))</f>
        <v/>
      </c>
      <c r="T1240" s="55" t="str">
        <f>IF(ISERROR(FIND('112'!$M$9,G1240,1)),"",IF((AND(RIGHT(G1240,2)=RIGHT('112'!$M$9,2),B1240&lt;'112'!$N$8,$M1240='112'!$I$6)),"x",""))</f>
        <v/>
      </c>
      <c r="U1240" s="55" t="str">
        <f>IF(AND('3411-CT'!$F$9=H1240,OR(LEFT(L1240,3)=$U$7,LEFT(M1240,3)=$U$7)),"x","")</f>
        <v/>
      </c>
      <c r="V1240" s="55" t="str">
        <f>IF(OR(TH!L1240=TH!$V$7,M1240=TH!$V$7),"x","")</f>
        <v/>
      </c>
      <c r="W1240" s="55" t="str">
        <f>IF(AND(OR(L1240="131",M1240="131"),H1240='131-CT'!$E$7),"x","")</f>
        <v/>
      </c>
      <c r="X1240" s="55" t="str">
        <f>IF(AND(B1240&gt;='IN-NX'!$P$3,B1240&lt;='IN-NX'!$Q$3,'IN-NX'!$D$7=D1240,OR(LEFT(TH!L1240,2)="15",LEFT(TH!M1240,2)="15")),"x","")</f>
        <v/>
      </c>
      <c r="Y1240" s="55" t="str">
        <f>IF(AND(OR(LEFT(TH!L1240,2)="15",LEFT(TH!M1240,2)="15"),'152-CT'!$J$8=TH!F1240),"x","")</f>
        <v/>
      </c>
      <c r="Z1240" s="55" t="str">
        <f>IF(AND(OR(LEFT(TH!L1240,2)="15",LEFT(TH!M1240,2)="15"),TK!$E$7=TH!F1240),"x","")</f>
        <v/>
      </c>
      <c r="AA1240" s="55" t="str">
        <f>IF(AND(B1240&lt;=NKC!$N$8,B1240&gt;=NKC!$M$8),"x","")</f>
        <v/>
      </c>
      <c r="AC1240" s="226"/>
    </row>
    <row r="1241" spans="1:29" ht="15.75" customHeight="1">
      <c r="A1241" s="219" t="str">
        <f>IF(B1241&lt;&gt;"",IF(AND(B1241&gt;=_TM1,B1241&lt;=_TM2,OR(TH!L1241="1111",TH!M1241="1111")),TH!D1241,""),"")</f>
        <v/>
      </c>
      <c r="B1241" s="36">
        <f t="shared" si="54"/>
        <v>8</v>
      </c>
      <c r="C1241" s="205">
        <f t="shared" si="53"/>
        <v>41124</v>
      </c>
      <c r="D1241" s="205"/>
      <c r="E1241" s="205">
        <v>41124</v>
      </c>
      <c r="F1241" s="206" t="s">
        <v>1194</v>
      </c>
      <c r="G1241" s="581" t="s">
        <v>1440</v>
      </c>
      <c r="H1241" s="207" t="s">
        <v>1188</v>
      </c>
      <c r="I1241" s="277">
        <v>1000</v>
      </c>
      <c r="J1241" s="277">
        <v>17500</v>
      </c>
      <c r="K1241" s="38">
        <f t="shared" si="55"/>
        <v>17500000</v>
      </c>
      <c r="L1241" s="208" t="s">
        <v>49</v>
      </c>
      <c r="M1241" s="208" t="s">
        <v>208</v>
      </c>
      <c r="N1241" s="55" t="str">
        <f>IF(AND('331-CT'!$E$7=TH!H1241,OR(L1241="331",M1241="331")),"x","")</f>
        <v/>
      </c>
      <c r="O1241" s="55" t="str">
        <f>IF(AND($B1241&gt;='111'!$N$11,$B1241&lt;='111'!$O$11,OR($L1241=$O$7,$M1241=$O$7)),"x","")</f>
        <v/>
      </c>
      <c r="P1241" s="55" t="str">
        <f>IF(AND($L1241=$O$7,$B1241&lt;'111'!$N$11),"x","")</f>
        <v>x</v>
      </c>
      <c r="Q1241" s="55" t="str">
        <f>IF(AND($M1241=$O$7,$B1241&lt;'111'!$N$11),"x","")</f>
        <v/>
      </c>
      <c r="R1241" s="55" t="str">
        <f>IF(ISERROR(FIND('112'!$M$9,G1241,1)),"",IF((AND(FIND('112'!$M$9,G1241,1)&gt;=1,$B1241&gt;='112'!$N$8,$B1241&lt;='112'!$O$8,OR($L1241='112'!$I$6,$M1241='112'!$I$6))),"x",""))</f>
        <v/>
      </c>
      <c r="S1241" s="55" t="str">
        <f>IF(ISERROR(FIND('112'!$M$9,G1241,1)),"",IF((AND(LEFT(G1241,2)=LEFT('112'!$M$9,2),B1241&lt;'112'!$N$8,$L1241='112'!$I$6)),"x",""))</f>
        <v/>
      </c>
      <c r="T1241" s="55" t="str">
        <f>IF(ISERROR(FIND('112'!$M$9,G1241,1)),"",IF((AND(RIGHT(G1241,2)=RIGHT('112'!$M$9,2),B1241&lt;'112'!$N$8,$M1241='112'!$I$6)),"x",""))</f>
        <v/>
      </c>
      <c r="U1241" s="55" t="str">
        <f>IF(AND('3411-CT'!$F$9=H1241,OR(LEFT(L1241,3)=$U$7,LEFT(M1241,3)=$U$7)),"x","")</f>
        <v/>
      </c>
      <c r="V1241" s="55" t="str">
        <f>IF(OR(TH!L1241=TH!$V$7,M1241=TH!$V$7),"x","")</f>
        <v/>
      </c>
      <c r="W1241" s="55" t="str">
        <f>IF(AND(OR(L1241="131",M1241="131"),H1241='131-CT'!$E$7),"x","")</f>
        <v/>
      </c>
      <c r="X1241" s="55" t="str">
        <f>IF(AND(B1241&gt;='IN-NX'!$P$3,B1241&lt;='IN-NX'!$Q$3,'IN-NX'!$D$7=D1241,OR(LEFT(TH!L1241,2)="15",LEFT(TH!M1241,2)="15")),"x","")</f>
        <v/>
      </c>
      <c r="Y1241" s="55" t="str">
        <f>IF(AND(OR(LEFT(TH!L1241,2)="15",LEFT(TH!M1241,2)="15"),'152-CT'!$J$8=TH!F1241),"x","")</f>
        <v/>
      </c>
      <c r="Z1241" s="55" t="str">
        <f>IF(AND(OR(LEFT(TH!L1241,2)="15",LEFT(TH!M1241,2)="15"),TK!$E$7=TH!F1241),"x","")</f>
        <v/>
      </c>
      <c r="AA1241" s="55" t="str">
        <f>IF(AND(B1241&lt;=NKC!$N$8,B1241&gt;=NKC!$M$8),"x","")</f>
        <v/>
      </c>
    </row>
    <row r="1242" spans="1:29" ht="15.75" customHeight="1">
      <c r="A1242" s="219" t="str">
        <f>IF(B1242&lt;&gt;"",IF(AND(B1242&gt;=_TM1,B1242&lt;=_TM2,OR(TH!L1242="1111",TH!M1242="1111")),TH!D1242,""),"")</f>
        <v/>
      </c>
      <c r="B1242" s="36">
        <f t="shared" si="54"/>
        <v>8</v>
      </c>
      <c r="C1242" s="205">
        <f t="shared" si="53"/>
        <v>41124</v>
      </c>
      <c r="D1242" s="205"/>
      <c r="E1242" s="205">
        <v>41124</v>
      </c>
      <c r="F1242" s="206" t="s">
        <v>1185</v>
      </c>
      <c r="G1242" s="581" t="s">
        <v>1440</v>
      </c>
      <c r="H1242" s="207" t="s">
        <v>1188</v>
      </c>
      <c r="I1242" s="277"/>
      <c r="J1242" s="277"/>
      <c r="K1242" s="38">
        <v>1750000</v>
      </c>
      <c r="L1242" s="208" t="s">
        <v>49</v>
      </c>
      <c r="M1242" s="208" t="s">
        <v>549</v>
      </c>
      <c r="N1242" s="55" t="str">
        <f>IF(AND('331-CT'!$E$7=TH!H1242,OR(L1242="331",M1242="331")),"x","")</f>
        <v/>
      </c>
      <c r="O1242" s="55" t="str">
        <f>IF(AND($B1242&gt;='111'!$N$11,$B1242&lt;='111'!$O$11,OR($L1242=$O$7,$M1242=$O$7)),"x","")</f>
        <v/>
      </c>
      <c r="P1242" s="55" t="str">
        <f>IF(AND($L1242=$O$7,$B1242&lt;'111'!$N$11),"x","")</f>
        <v>x</v>
      </c>
      <c r="Q1242" s="55" t="str">
        <f>IF(AND($M1242=$O$7,$B1242&lt;'111'!$N$11),"x","")</f>
        <v/>
      </c>
      <c r="R1242" s="55" t="str">
        <f>IF(ISERROR(FIND('112'!$M$9,G1242,1)),"",IF((AND(FIND('112'!$M$9,G1242,1)&gt;=1,$B1242&gt;='112'!$N$8,$B1242&lt;='112'!$O$8,OR($L1242='112'!$I$6,$M1242='112'!$I$6))),"x",""))</f>
        <v/>
      </c>
      <c r="S1242" s="55" t="str">
        <f>IF(ISERROR(FIND('112'!$M$9,G1242,1)),"",IF((AND(LEFT(G1242,2)=LEFT('112'!$M$9,2),B1242&lt;'112'!$N$8,$L1242='112'!$I$6)),"x",""))</f>
        <v/>
      </c>
      <c r="T1242" s="55" t="str">
        <f>IF(ISERROR(FIND('112'!$M$9,G1242,1)),"",IF((AND(RIGHT(G1242,2)=RIGHT('112'!$M$9,2),B1242&lt;'112'!$N$8,$M1242='112'!$I$6)),"x",""))</f>
        <v/>
      </c>
      <c r="U1242" s="55" t="str">
        <f>IF(AND('3411-CT'!$F$9=H1242,OR(LEFT(L1242,3)=$U$7,LEFT(M1242,3)=$U$7)),"x","")</f>
        <v/>
      </c>
      <c r="V1242" s="55" t="str">
        <f>IF(OR(TH!L1242=TH!$V$7,M1242=TH!$V$7),"x","")</f>
        <v/>
      </c>
      <c r="W1242" s="55" t="str">
        <f>IF(AND(OR(L1242="131",M1242="131"),H1242='131-CT'!$E$7),"x","")</f>
        <v/>
      </c>
      <c r="X1242" s="55" t="str">
        <f>IF(AND(B1242&gt;='IN-NX'!$P$3,B1242&lt;='IN-NX'!$Q$3,'IN-NX'!$D$7=D1242,OR(LEFT(TH!L1242,2)="15",LEFT(TH!M1242,2)="15")),"x","")</f>
        <v/>
      </c>
      <c r="Y1242" s="55" t="str">
        <f>IF(AND(OR(LEFT(TH!L1242,2)="15",LEFT(TH!M1242,2)="15"),'152-CT'!$J$8=TH!F1242),"x","")</f>
        <v/>
      </c>
      <c r="Z1242" s="55" t="str">
        <f>IF(AND(OR(LEFT(TH!L1242,2)="15",LEFT(TH!M1242,2)="15"),TK!$E$7=TH!F1242),"x","")</f>
        <v/>
      </c>
      <c r="AA1242" s="55" t="str">
        <f>IF(AND(B1242&lt;=NKC!$N$8,B1242&gt;=NKC!$M$8),"x","")</f>
        <v/>
      </c>
      <c r="AC1242" s="226"/>
    </row>
    <row r="1243" spans="1:29" ht="15.75" customHeight="1">
      <c r="A1243" s="219" t="str">
        <f>IF(B1243&lt;&gt;"",IF(AND(B1243&gt;=_TM1,B1243&lt;=_TM2,OR(TH!L1243="1111",TH!M1243="1111")),TH!D1243,""),"")</f>
        <v/>
      </c>
      <c r="B1243" s="36">
        <f t="shared" si="54"/>
        <v>8</v>
      </c>
      <c r="C1243" s="205">
        <f t="shared" si="53"/>
        <v>41125</v>
      </c>
      <c r="D1243" s="205"/>
      <c r="E1243" s="205">
        <v>41125</v>
      </c>
      <c r="F1243" s="206" t="s">
        <v>1194</v>
      </c>
      <c r="G1243" s="581" t="s">
        <v>1441</v>
      </c>
      <c r="H1243" s="207" t="s">
        <v>1188</v>
      </c>
      <c r="I1243" s="277">
        <v>520</v>
      </c>
      <c r="J1243" s="277">
        <v>17500</v>
      </c>
      <c r="K1243" s="38">
        <f t="shared" si="55"/>
        <v>9100000</v>
      </c>
      <c r="L1243" s="208" t="s">
        <v>49</v>
      </c>
      <c r="M1243" s="208" t="s">
        <v>208</v>
      </c>
      <c r="N1243" s="55" t="str">
        <f>IF(AND('331-CT'!$E$7=TH!H1243,OR(L1243="331",M1243="331")),"x","")</f>
        <v/>
      </c>
      <c r="O1243" s="55" t="str">
        <f>IF(AND($B1243&gt;='111'!$N$11,$B1243&lt;='111'!$O$11,OR($L1243=$O$7,$M1243=$O$7)),"x","")</f>
        <v/>
      </c>
      <c r="P1243" s="55" t="str">
        <f>IF(AND($L1243=$O$7,$B1243&lt;'111'!$N$11),"x","")</f>
        <v>x</v>
      </c>
      <c r="Q1243" s="55" t="str">
        <f>IF(AND($M1243=$O$7,$B1243&lt;'111'!$N$11),"x","")</f>
        <v/>
      </c>
      <c r="R1243" s="55" t="str">
        <f>IF(ISERROR(FIND('112'!$M$9,G1243,1)),"",IF((AND(FIND('112'!$M$9,G1243,1)&gt;=1,$B1243&gt;='112'!$N$8,$B1243&lt;='112'!$O$8,OR($L1243='112'!$I$6,$M1243='112'!$I$6))),"x",""))</f>
        <v/>
      </c>
      <c r="S1243" s="55" t="str">
        <f>IF(ISERROR(FIND('112'!$M$9,G1243,1)),"",IF((AND(LEFT(G1243,2)=LEFT('112'!$M$9,2),B1243&lt;'112'!$N$8,$L1243='112'!$I$6)),"x",""))</f>
        <v/>
      </c>
      <c r="T1243" s="55" t="str">
        <f>IF(ISERROR(FIND('112'!$M$9,G1243,1)),"",IF((AND(RIGHT(G1243,2)=RIGHT('112'!$M$9,2),B1243&lt;'112'!$N$8,$M1243='112'!$I$6)),"x",""))</f>
        <v/>
      </c>
      <c r="U1243" s="55" t="str">
        <f>IF(AND('3411-CT'!$F$9=H1243,OR(LEFT(L1243,3)=$U$7,LEFT(M1243,3)=$U$7)),"x","")</f>
        <v/>
      </c>
      <c r="V1243" s="55" t="str">
        <f>IF(OR(TH!L1243=TH!$V$7,M1243=TH!$V$7),"x","")</f>
        <v/>
      </c>
      <c r="W1243" s="55" t="str">
        <f>IF(AND(OR(L1243="131",M1243="131"),H1243='131-CT'!$E$7),"x","")</f>
        <v/>
      </c>
      <c r="X1243" s="55" t="str">
        <f>IF(AND(B1243&gt;='IN-NX'!$P$3,B1243&lt;='IN-NX'!$Q$3,'IN-NX'!$D$7=D1243,OR(LEFT(TH!L1243,2)="15",LEFT(TH!M1243,2)="15")),"x","")</f>
        <v/>
      </c>
      <c r="Y1243" s="55" t="str">
        <f>IF(AND(OR(LEFT(TH!L1243,2)="15",LEFT(TH!M1243,2)="15"),'152-CT'!$J$8=TH!F1243),"x","")</f>
        <v/>
      </c>
      <c r="Z1243" s="55" t="str">
        <f>IF(AND(OR(LEFT(TH!L1243,2)="15",LEFT(TH!M1243,2)="15"),TK!$E$7=TH!F1243),"x","")</f>
        <v/>
      </c>
      <c r="AA1243" s="55" t="str">
        <f>IF(AND(B1243&lt;=NKC!$N$8,B1243&gt;=NKC!$M$8),"x","")</f>
        <v/>
      </c>
    </row>
    <row r="1244" spans="1:29" ht="15.75" customHeight="1">
      <c r="A1244" s="219" t="str">
        <f>IF(B1244&lt;&gt;"",IF(AND(B1244&gt;=_TM1,B1244&lt;=_TM2,OR(TH!L1244="1111",TH!M1244="1111")),TH!D1244,""),"")</f>
        <v/>
      </c>
      <c r="B1244" s="36">
        <f t="shared" si="54"/>
        <v>8</v>
      </c>
      <c r="C1244" s="205">
        <f t="shared" si="53"/>
        <v>41125</v>
      </c>
      <c r="D1244" s="205"/>
      <c r="E1244" s="205">
        <v>41125</v>
      </c>
      <c r="F1244" s="206" t="s">
        <v>1185</v>
      </c>
      <c r="G1244" s="581" t="s">
        <v>1441</v>
      </c>
      <c r="H1244" s="207" t="s">
        <v>1188</v>
      </c>
      <c r="I1244" s="277"/>
      <c r="J1244" s="277"/>
      <c r="K1244" s="38">
        <v>910000</v>
      </c>
      <c r="L1244" s="208" t="s">
        <v>49</v>
      </c>
      <c r="M1244" s="208" t="s">
        <v>549</v>
      </c>
      <c r="N1244" s="55" t="str">
        <f>IF(AND('331-CT'!$E$7=TH!H1244,OR(L1244="331",M1244="331")),"x","")</f>
        <v/>
      </c>
      <c r="O1244" s="55" t="str">
        <f>IF(AND($B1244&gt;='111'!$N$11,$B1244&lt;='111'!$O$11,OR($L1244=$O$7,$M1244=$O$7)),"x","")</f>
        <v/>
      </c>
      <c r="P1244" s="55" t="str">
        <f>IF(AND($L1244=$O$7,$B1244&lt;'111'!$N$11),"x","")</f>
        <v>x</v>
      </c>
      <c r="Q1244" s="55" t="str">
        <f>IF(AND($M1244=$O$7,$B1244&lt;'111'!$N$11),"x","")</f>
        <v/>
      </c>
      <c r="R1244" s="55" t="str">
        <f>IF(ISERROR(FIND('112'!$M$9,G1244,1)),"",IF((AND(FIND('112'!$M$9,G1244,1)&gt;=1,$B1244&gt;='112'!$N$8,$B1244&lt;='112'!$O$8,OR($L1244='112'!$I$6,$M1244='112'!$I$6))),"x",""))</f>
        <v/>
      </c>
      <c r="S1244" s="55" t="str">
        <f>IF(ISERROR(FIND('112'!$M$9,G1244,1)),"",IF((AND(LEFT(G1244,2)=LEFT('112'!$M$9,2),B1244&lt;'112'!$N$8,$L1244='112'!$I$6)),"x",""))</f>
        <v/>
      </c>
      <c r="T1244" s="55" t="str">
        <f>IF(ISERROR(FIND('112'!$M$9,G1244,1)),"",IF((AND(RIGHT(G1244,2)=RIGHT('112'!$M$9,2),B1244&lt;'112'!$N$8,$M1244='112'!$I$6)),"x",""))</f>
        <v/>
      </c>
      <c r="U1244" s="55" t="str">
        <f>IF(AND('3411-CT'!$F$9=H1244,OR(LEFT(L1244,3)=$U$7,LEFT(M1244,3)=$U$7)),"x","")</f>
        <v/>
      </c>
      <c r="V1244" s="55" t="str">
        <f>IF(OR(TH!L1244=TH!$V$7,M1244=TH!$V$7),"x","")</f>
        <v/>
      </c>
      <c r="W1244" s="55" t="str">
        <f>IF(AND(OR(L1244="131",M1244="131"),H1244='131-CT'!$E$7),"x","")</f>
        <v/>
      </c>
      <c r="X1244" s="55" t="str">
        <f>IF(AND(B1244&gt;='IN-NX'!$P$3,B1244&lt;='IN-NX'!$Q$3,'IN-NX'!$D$7=D1244,OR(LEFT(TH!L1244,2)="15",LEFT(TH!M1244,2)="15")),"x","")</f>
        <v/>
      </c>
      <c r="Y1244" s="55" t="str">
        <f>IF(AND(OR(LEFT(TH!L1244,2)="15",LEFT(TH!M1244,2)="15"),'152-CT'!$J$8=TH!F1244),"x","")</f>
        <v/>
      </c>
      <c r="Z1244" s="55" t="str">
        <f>IF(AND(OR(LEFT(TH!L1244,2)="15",LEFT(TH!M1244,2)="15"),TK!$E$7=TH!F1244),"x","")</f>
        <v/>
      </c>
      <c r="AA1244" s="55" t="str">
        <f>IF(AND(B1244&lt;=NKC!$N$8,B1244&gt;=NKC!$M$8),"x","")</f>
        <v/>
      </c>
      <c r="AC1244" s="226"/>
    </row>
    <row r="1245" spans="1:29" ht="15.75" customHeight="1">
      <c r="A1245" s="219" t="str">
        <f>IF(B1245&lt;&gt;"",IF(AND(B1245&gt;=_TM1,B1245&lt;=_TM2,OR(TH!L1245="1111",TH!M1245="1111")),TH!D1245,""),"")</f>
        <v/>
      </c>
      <c r="B1245" s="36">
        <f t="shared" si="54"/>
        <v>8</v>
      </c>
      <c r="C1245" s="205">
        <f t="shared" si="53"/>
        <v>41125</v>
      </c>
      <c r="D1245" s="205"/>
      <c r="E1245" s="205">
        <v>41125</v>
      </c>
      <c r="F1245" s="206" t="s">
        <v>1419</v>
      </c>
      <c r="G1245" s="581" t="s">
        <v>1442</v>
      </c>
      <c r="H1245" s="207" t="s">
        <v>1141</v>
      </c>
      <c r="I1245" s="277">
        <v>993</v>
      </c>
      <c r="J1245" s="277">
        <v>5100</v>
      </c>
      <c r="K1245" s="38">
        <f t="shared" si="55"/>
        <v>5064300</v>
      </c>
      <c r="L1245" s="208" t="s">
        <v>311</v>
      </c>
      <c r="M1245" s="208" t="s">
        <v>208</v>
      </c>
      <c r="N1245" s="55" t="str">
        <f>IF(AND('331-CT'!$E$7=TH!H1245,OR(L1245="331",M1245="331")),"x","")</f>
        <v/>
      </c>
      <c r="O1245" s="55" t="str">
        <f>IF(AND($B1245&gt;='111'!$N$11,$B1245&lt;='111'!$O$11,OR($L1245=$O$7,$M1245=$O$7)),"x","")</f>
        <v/>
      </c>
      <c r="P1245" s="55" t="str">
        <f>IF(AND($L1245=$O$7,$B1245&lt;'111'!$N$11),"x","")</f>
        <v/>
      </c>
      <c r="Q1245" s="55" t="str">
        <f>IF(AND($M1245=$O$7,$B1245&lt;'111'!$N$11),"x","")</f>
        <v/>
      </c>
      <c r="R1245" s="55" t="str">
        <f>IF(ISERROR(FIND('112'!$M$9,G1245,1)),"",IF((AND(FIND('112'!$M$9,G1245,1)&gt;=1,$B1245&gt;='112'!$N$8,$B1245&lt;='112'!$O$8,OR($L1245='112'!$I$6,$M1245='112'!$I$6))),"x",""))</f>
        <v/>
      </c>
      <c r="S1245" s="55" t="str">
        <f>IF(ISERROR(FIND('112'!$M$9,G1245,1)),"",IF((AND(LEFT(G1245,2)=LEFT('112'!$M$9,2),B1245&lt;'112'!$N$8,$L1245='112'!$I$6)),"x",""))</f>
        <v/>
      </c>
      <c r="T1245" s="55" t="str">
        <f>IF(ISERROR(FIND('112'!$M$9,G1245,1)),"",IF((AND(RIGHT(G1245,2)=RIGHT('112'!$M$9,2),B1245&lt;'112'!$N$8,$M1245='112'!$I$6)),"x",""))</f>
        <v/>
      </c>
      <c r="U1245" s="55" t="str">
        <f>IF(AND('3411-CT'!$F$9=H1245,OR(LEFT(L1245,3)=$U$7,LEFT(M1245,3)=$U$7)),"x","")</f>
        <v/>
      </c>
      <c r="V1245" s="55" t="str">
        <f>IF(OR(TH!L1245=TH!$V$7,M1245=TH!$V$7),"x","")</f>
        <v/>
      </c>
      <c r="W1245" s="55" t="str">
        <f>IF(AND(OR(L1245="131",M1245="131"),H1245='131-CT'!$E$7),"x","")</f>
        <v/>
      </c>
      <c r="X1245" s="55" t="str">
        <f>IF(AND(B1245&gt;='IN-NX'!$P$3,B1245&lt;='IN-NX'!$Q$3,'IN-NX'!$D$7=D1245,OR(LEFT(TH!L1245,2)="15",LEFT(TH!M1245,2)="15")),"x","")</f>
        <v/>
      </c>
      <c r="Y1245" s="55" t="str">
        <f>IF(AND(OR(LEFT(TH!L1245,2)="15",LEFT(TH!M1245,2)="15"),'152-CT'!$J$8=TH!F1245),"x","")</f>
        <v/>
      </c>
      <c r="Z1245" s="55" t="str">
        <f>IF(AND(OR(LEFT(TH!L1245,2)="15",LEFT(TH!M1245,2)="15"),TK!$E$7=TH!F1245),"x","")</f>
        <v/>
      </c>
      <c r="AA1245" s="55" t="str">
        <f>IF(AND(B1245&lt;=NKC!$N$8,B1245&gt;=NKC!$M$8),"x","")</f>
        <v/>
      </c>
    </row>
    <row r="1246" spans="1:29" ht="15.75" customHeight="1">
      <c r="A1246" s="219" t="str">
        <f>IF(B1246&lt;&gt;"",IF(AND(B1246&gt;=_TM1,B1246&lt;=_TM2,OR(TH!L1246="1111",TH!M1246="1111")),TH!D1246,""),"")</f>
        <v/>
      </c>
      <c r="B1246" s="36">
        <f t="shared" si="54"/>
        <v>8</v>
      </c>
      <c r="C1246" s="205">
        <f t="shared" si="53"/>
        <v>41125</v>
      </c>
      <c r="D1246" s="205"/>
      <c r="E1246" s="205">
        <v>41125</v>
      </c>
      <c r="F1246" s="206" t="s">
        <v>1422</v>
      </c>
      <c r="G1246" s="581" t="s">
        <v>1442</v>
      </c>
      <c r="H1246" s="207" t="s">
        <v>1141</v>
      </c>
      <c r="I1246" s="277">
        <v>1030</v>
      </c>
      <c r="J1246" s="277">
        <v>6150</v>
      </c>
      <c r="K1246" s="38">
        <f t="shared" si="55"/>
        <v>6334500</v>
      </c>
      <c r="L1246" s="208" t="s">
        <v>311</v>
      </c>
      <c r="M1246" s="208" t="s">
        <v>208</v>
      </c>
      <c r="N1246" s="55" t="str">
        <f>IF(AND('331-CT'!$E$7=TH!H1246,OR(L1246="331",M1246="331")),"x","")</f>
        <v/>
      </c>
      <c r="O1246" s="55" t="str">
        <f>IF(AND($B1246&gt;='111'!$N$11,$B1246&lt;='111'!$O$11,OR($L1246=$O$7,$M1246=$O$7)),"x","")</f>
        <v/>
      </c>
      <c r="P1246" s="55" t="str">
        <f>IF(AND($L1246=$O$7,$B1246&lt;'111'!$N$11),"x","")</f>
        <v/>
      </c>
      <c r="Q1246" s="55" t="str">
        <f>IF(AND($M1246=$O$7,$B1246&lt;'111'!$N$11),"x","")</f>
        <v/>
      </c>
      <c r="R1246" s="55" t="str">
        <f>IF(ISERROR(FIND('112'!$M$9,G1246,1)),"",IF((AND(FIND('112'!$M$9,G1246,1)&gt;=1,$B1246&gt;='112'!$N$8,$B1246&lt;='112'!$O$8,OR($L1246='112'!$I$6,$M1246='112'!$I$6))),"x",""))</f>
        <v/>
      </c>
      <c r="S1246" s="55" t="str">
        <f>IF(ISERROR(FIND('112'!$M$9,G1246,1)),"",IF((AND(LEFT(G1246,2)=LEFT('112'!$M$9,2),B1246&lt;'112'!$N$8,$L1246='112'!$I$6)),"x",""))</f>
        <v/>
      </c>
      <c r="T1246" s="55" t="str">
        <f>IF(ISERROR(FIND('112'!$M$9,G1246,1)),"",IF((AND(RIGHT(G1246,2)=RIGHT('112'!$M$9,2),B1246&lt;'112'!$N$8,$M1246='112'!$I$6)),"x",""))</f>
        <v/>
      </c>
      <c r="U1246" s="55" t="str">
        <f>IF(AND('3411-CT'!$F$9=H1246,OR(LEFT(L1246,3)=$U$7,LEFT(M1246,3)=$U$7)),"x","")</f>
        <v/>
      </c>
      <c r="V1246" s="55" t="str">
        <f>IF(OR(TH!L1246=TH!$V$7,M1246=TH!$V$7),"x","")</f>
        <v/>
      </c>
      <c r="W1246" s="55" t="str">
        <f>IF(AND(OR(L1246="131",M1246="131"),H1246='131-CT'!$E$7),"x","")</f>
        <v/>
      </c>
      <c r="X1246" s="55" t="str">
        <f>IF(AND(B1246&gt;='IN-NX'!$P$3,B1246&lt;='IN-NX'!$Q$3,'IN-NX'!$D$7=D1246,OR(LEFT(TH!L1246,2)="15",LEFT(TH!M1246,2)="15")),"x","")</f>
        <v/>
      </c>
      <c r="Y1246" s="55" t="str">
        <f>IF(AND(OR(LEFT(TH!L1246,2)="15",LEFT(TH!M1246,2)="15"),'152-CT'!$J$8=TH!F1246),"x","")</f>
        <v/>
      </c>
      <c r="Z1246" s="55" t="str">
        <f>IF(AND(OR(LEFT(TH!L1246,2)="15",LEFT(TH!M1246,2)="15"),TK!$E$7=TH!F1246),"x","")</f>
        <v/>
      </c>
      <c r="AA1246" s="55" t="str">
        <f>IF(AND(B1246&lt;=NKC!$N$8,B1246&gt;=NKC!$M$8),"x","")</f>
        <v/>
      </c>
    </row>
    <row r="1247" spans="1:29" ht="15.75" customHeight="1">
      <c r="A1247" s="219" t="str">
        <f>IF(B1247&lt;&gt;"",IF(AND(B1247&gt;=_TM1,B1247&lt;=_TM2,OR(TH!L1247="1111",TH!M1247="1111")),TH!D1247,""),"")</f>
        <v/>
      </c>
      <c r="B1247" s="36">
        <f t="shared" si="54"/>
        <v>8</v>
      </c>
      <c r="C1247" s="205">
        <f t="shared" si="53"/>
        <v>41125</v>
      </c>
      <c r="D1247" s="205"/>
      <c r="E1247" s="205">
        <v>41125</v>
      </c>
      <c r="F1247" s="206" t="s">
        <v>1443</v>
      </c>
      <c r="G1247" s="581" t="s">
        <v>1442</v>
      </c>
      <c r="H1247" s="207" t="s">
        <v>1141</v>
      </c>
      <c r="I1247" s="277">
        <v>1010</v>
      </c>
      <c r="J1247" s="277">
        <v>7850</v>
      </c>
      <c r="K1247" s="38">
        <f t="shared" si="55"/>
        <v>7928500</v>
      </c>
      <c r="L1247" s="208" t="s">
        <v>311</v>
      </c>
      <c r="M1247" s="208" t="s">
        <v>208</v>
      </c>
      <c r="N1247" s="55" t="str">
        <f>IF(AND('331-CT'!$E$7=TH!H1247,OR(L1247="331",M1247="331")),"x","")</f>
        <v/>
      </c>
      <c r="O1247" s="55" t="str">
        <f>IF(AND($B1247&gt;='111'!$N$11,$B1247&lt;='111'!$O$11,OR($L1247=$O$7,$M1247=$O$7)),"x","")</f>
        <v/>
      </c>
      <c r="P1247" s="55" t="str">
        <f>IF(AND($L1247=$O$7,$B1247&lt;'111'!$N$11),"x","")</f>
        <v/>
      </c>
      <c r="Q1247" s="55" t="str">
        <f>IF(AND($M1247=$O$7,$B1247&lt;'111'!$N$11),"x","")</f>
        <v/>
      </c>
      <c r="R1247" s="55" t="str">
        <f>IF(ISERROR(FIND('112'!$M$9,G1247,1)),"",IF((AND(FIND('112'!$M$9,G1247,1)&gt;=1,$B1247&gt;='112'!$N$8,$B1247&lt;='112'!$O$8,OR($L1247='112'!$I$6,$M1247='112'!$I$6))),"x",""))</f>
        <v/>
      </c>
      <c r="S1247" s="55" t="str">
        <f>IF(ISERROR(FIND('112'!$M$9,G1247,1)),"",IF((AND(LEFT(G1247,2)=LEFT('112'!$M$9,2),B1247&lt;'112'!$N$8,$L1247='112'!$I$6)),"x",""))</f>
        <v/>
      </c>
      <c r="T1247" s="55" t="str">
        <f>IF(ISERROR(FIND('112'!$M$9,G1247,1)),"",IF((AND(RIGHT(G1247,2)=RIGHT('112'!$M$9,2),B1247&lt;'112'!$N$8,$M1247='112'!$I$6)),"x",""))</f>
        <v/>
      </c>
      <c r="U1247" s="55" t="str">
        <f>IF(AND('3411-CT'!$F$9=H1247,OR(LEFT(L1247,3)=$U$7,LEFT(M1247,3)=$U$7)),"x","")</f>
        <v/>
      </c>
      <c r="V1247" s="55" t="str">
        <f>IF(OR(TH!L1247=TH!$V$7,M1247=TH!$V$7),"x","")</f>
        <v/>
      </c>
      <c r="W1247" s="55" t="str">
        <f>IF(AND(OR(L1247="131",M1247="131"),H1247='131-CT'!$E$7),"x","")</f>
        <v/>
      </c>
      <c r="X1247" s="55" t="str">
        <f>IF(AND(B1247&gt;='IN-NX'!$P$3,B1247&lt;='IN-NX'!$Q$3,'IN-NX'!$D$7=D1247,OR(LEFT(TH!L1247,2)="15",LEFT(TH!M1247,2)="15")),"x","")</f>
        <v/>
      </c>
      <c r="Y1247" s="55" t="str">
        <f>IF(AND(OR(LEFT(TH!L1247,2)="15",LEFT(TH!M1247,2)="15"),'152-CT'!$J$8=TH!F1247),"x","")</f>
        <v/>
      </c>
      <c r="Z1247" s="55" t="str">
        <f>IF(AND(OR(LEFT(TH!L1247,2)="15",LEFT(TH!M1247,2)="15"),TK!$E$7=TH!F1247),"x","")</f>
        <v/>
      </c>
      <c r="AA1247" s="55" t="str">
        <f>IF(AND(B1247&lt;=NKC!$N$8,B1247&gt;=NKC!$M$8),"x","")</f>
        <v/>
      </c>
    </row>
    <row r="1248" spans="1:29" ht="15.75" customHeight="1">
      <c r="A1248" s="219" t="str">
        <f>IF(B1248&lt;&gt;"",IF(AND(B1248&gt;=_TM1,B1248&lt;=_TM2,OR(TH!L1248="1111",TH!M1248="1111")),TH!D1248,""),"")</f>
        <v/>
      </c>
      <c r="B1248" s="36">
        <f t="shared" si="54"/>
        <v>8</v>
      </c>
      <c r="C1248" s="205">
        <f t="shared" si="53"/>
        <v>41125</v>
      </c>
      <c r="D1248" s="205"/>
      <c r="E1248" s="205">
        <v>41125</v>
      </c>
      <c r="F1248" s="206" t="s">
        <v>1185</v>
      </c>
      <c r="G1248" s="581" t="s">
        <v>1442</v>
      </c>
      <c r="H1248" s="207" t="s">
        <v>1141</v>
      </c>
      <c r="I1248" s="277"/>
      <c r="J1248" s="277"/>
      <c r="K1248" s="38">
        <v>1932730</v>
      </c>
      <c r="L1248" s="208" t="s">
        <v>311</v>
      </c>
      <c r="M1248" s="208" t="s">
        <v>549</v>
      </c>
      <c r="N1248" s="55" t="str">
        <f>IF(AND('331-CT'!$E$7=TH!H1248,OR(L1248="331",M1248="331")),"x","")</f>
        <v/>
      </c>
      <c r="O1248" s="55" t="str">
        <f>IF(AND($B1248&gt;='111'!$N$11,$B1248&lt;='111'!$O$11,OR($L1248=$O$7,$M1248=$O$7)),"x","")</f>
        <v/>
      </c>
      <c r="P1248" s="55" t="str">
        <f>IF(AND($L1248=$O$7,$B1248&lt;'111'!$N$11),"x","")</f>
        <v/>
      </c>
      <c r="Q1248" s="55" t="str">
        <f>IF(AND($M1248=$O$7,$B1248&lt;'111'!$N$11),"x","")</f>
        <v/>
      </c>
      <c r="R1248" s="55" t="str">
        <f>IF(ISERROR(FIND('112'!$M$9,G1248,1)),"",IF((AND(FIND('112'!$M$9,G1248,1)&gt;=1,$B1248&gt;='112'!$N$8,$B1248&lt;='112'!$O$8,OR($L1248='112'!$I$6,$M1248='112'!$I$6))),"x",""))</f>
        <v/>
      </c>
      <c r="S1248" s="55" t="str">
        <f>IF(ISERROR(FIND('112'!$M$9,G1248,1)),"",IF((AND(LEFT(G1248,2)=LEFT('112'!$M$9,2),B1248&lt;'112'!$N$8,$L1248='112'!$I$6)),"x",""))</f>
        <v/>
      </c>
      <c r="T1248" s="55" t="str">
        <f>IF(ISERROR(FIND('112'!$M$9,G1248,1)),"",IF((AND(RIGHT(G1248,2)=RIGHT('112'!$M$9,2),B1248&lt;'112'!$N$8,$M1248='112'!$I$6)),"x",""))</f>
        <v/>
      </c>
      <c r="U1248" s="55" t="str">
        <f>IF(AND('3411-CT'!$F$9=H1248,OR(LEFT(L1248,3)=$U$7,LEFT(M1248,3)=$U$7)),"x","")</f>
        <v/>
      </c>
      <c r="V1248" s="55" t="str">
        <f>IF(OR(TH!L1248=TH!$V$7,M1248=TH!$V$7),"x","")</f>
        <v/>
      </c>
      <c r="W1248" s="55" t="str">
        <f>IF(AND(OR(L1248="131",M1248="131"),H1248='131-CT'!$E$7),"x","")</f>
        <v/>
      </c>
      <c r="X1248" s="55" t="str">
        <f>IF(AND(B1248&gt;='IN-NX'!$P$3,B1248&lt;='IN-NX'!$Q$3,'IN-NX'!$D$7=D1248,OR(LEFT(TH!L1248,2)="15",LEFT(TH!M1248,2)="15")),"x","")</f>
        <v/>
      </c>
      <c r="Y1248" s="55" t="str">
        <f>IF(AND(OR(LEFT(TH!L1248,2)="15",LEFT(TH!M1248,2)="15"),'152-CT'!$J$8=TH!F1248),"x","")</f>
        <v/>
      </c>
      <c r="Z1248" s="55" t="str">
        <f>IF(AND(OR(LEFT(TH!L1248,2)="15",LEFT(TH!M1248,2)="15"),TK!$E$7=TH!F1248),"x","")</f>
        <v/>
      </c>
      <c r="AA1248" s="55" t="str">
        <f>IF(AND(B1248&lt;=NKC!$N$8,B1248&gt;=NKC!$M$8),"x","")</f>
        <v/>
      </c>
      <c r="AC1248" s="226"/>
    </row>
    <row r="1249" spans="1:29" ht="15.75" customHeight="1">
      <c r="A1249" s="219" t="str">
        <f>IF(B1249&lt;&gt;"",IF(AND(B1249&gt;=_TM1,B1249&lt;=_TM2,OR(TH!L1249="1111",TH!M1249="1111")),TH!D1249,""),"")</f>
        <v/>
      </c>
      <c r="B1249" s="36">
        <f t="shared" si="54"/>
        <v>8</v>
      </c>
      <c r="C1249" s="205">
        <f t="shared" si="53"/>
        <v>41128</v>
      </c>
      <c r="D1249" s="205"/>
      <c r="E1249" s="205">
        <v>41128</v>
      </c>
      <c r="F1249" s="206" t="s">
        <v>1444</v>
      </c>
      <c r="G1249" s="581" t="s">
        <v>1445</v>
      </c>
      <c r="H1249" s="207" t="s">
        <v>1370</v>
      </c>
      <c r="I1249" s="277">
        <v>1025</v>
      </c>
      <c r="J1249" s="277">
        <v>6900</v>
      </c>
      <c r="K1249" s="38">
        <f t="shared" si="55"/>
        <v>7072500</v>
      </c>
      <c r="L1249" s="208" t="s">
        <v>49</v>
      </c>
      <c r="M1249" s="208" t="s">
        <v>208</v>
      </c>
      <c r="N1249" s="55" t="str">
        <f>IF(AND('331-CT'!$E$7=TH!H1249,OR(L1249="331",M1249="331")),"x","")</f>
        <v/>
      </c>
      <c r="O1249" s="55" t="str">
        <f>IF(AND($B1249&gt;='111'!$N$11,$B1249&lt;='111'!$O$11,OR($L1249=$O$7,$M1249=$O$7)),"x","")</f>
        <v/>
      </c>
      <c r="P1249" s="55" t="str">
        <f>IF(AND($L1249=$O$7,$B1249&lt;'111'!$N$11),"x","")</f>
        <v>x</v>
      </c>
      <c r="Q1249" s="55" t="str">
        <f>IF(AND($M1249=$O$7,$B1249&lt;'111'!$N$11),"x","")</f>
        <v/>
      </c>
      <c r="R1249" s="55" t="str">
        <f>IF(ISERROR(FIND('112'!$M$9,G1249,1)),"",IF((AND(FIND('112'!$M$9,G1249,1)&gt;=1,$B1249&gt;='112'!$N$8,$B1249&lt;='112'!$O$8,OR($L1249='112'!$I$6,$M1249='112'!$I$6))),"x",""))</f>
        <v/>
      </c>
      <c r="S1249" s="55" t="str">
        <f>IF(ISERROR(FIND('112'!$M$9,G1249,1)),"",IF((AND(LEFT(G1249,2)=LEFT('112'!$M$9,2),B1249&lt;'112'!$N$8,$L1249='112'!$I$6)),"x",""))</f>
        <v/>
      </c>
      <c r="T1249" s="55" t="str">
        <f>IF(ISERROR(FIND('112'!$M$9,G1249,1)),"",IF((AND(RIGHT(G1249,2)=RIGHT('112'!$M$9,2),B1249&lt;'112'!$N$8,$M1249='112'!$I$6)),"x",""))</f>
        <v/>
      </c>
      <c r="U1249" s="55" t="str">
        <f>IF(AND('3411-CT'!$F$9=H1249,OR(LEFT(L1249,3)=$U$7,LEFT(M1249,3)=$U$7)),"x","")</f>
        <v/>
      </c>
      <c r="V1249" s="55" t="str">
        <f>IF(OR(TH!L1249=TH!$V$7,M1249=TH!$V$7),"x","")</f>
        <v/>
      </c>
      <c r="W1249" s="55" t="str">
        <f>IF(AND(OR(L1249="131",M1249="131"),H1249='131-CT'!$E$7),"x","")</f>
        <v/>
      </c>
      <c r="X1249" s="55" t="str">
        <f>IF(AND(B1249&gt;='IN-NX'!$P$3,B1249&lt;='IN-NX'!$Q$3,'IN-NX'!$D$7=D1249,OR(LEFT(TH!L1249,2)="15",LEFT(TH!M1249,2)="15")),"x","")</f>
        <v/>
      </c>
      <c r="Y1249" s="55" t="str">
        <f>IF(AND(OR(LEFT(TH!L1249,2)="15",LEFT(TH!M1249,2)="15"),'152-CT'!$J$8=TH!F1249),"x","")</f>
        <v/>
      </c>
      <c r="Z1249" s="55" t="str">
        <f>IF(AND(OR(LEFT(TH!L1249,2)="15",LEFT(TH!M1249,2)="15"),TK!$E$7=TH!F1249),"x","")</f>
        <v/>
      </c>
      <c r="AA1249" s="55" t="str">
        <f>IF(AND(B1249&lt;=NKC!$N$8,B1249&gt;=NKC!$M$8),"x","")</f>
        <v/>
      </c>
    </row>
    <row r="1250" spans="1:29" ht="15.75" customHeight="1">
      <c r="A1250" s="219" t="str">
        <f>IF(B1250&lt;&gt;"",IF(AND(B1250&gt;=_TM1,B1250&lt;=_TM2,OR(TH!L1250="1111",TH!M1250="1111")),TH!D1250,""),"")</f>
        <v/>
      </c>
      <c r="B1250" s="36">
        <f t="shared" si="54"/>
        <v>8</v>
      </c>
      <c r="C1250" s="205">
        <f t="shared" si="53"/>
        <v>41128</v>
      </c>
      <c r="D1250" s="205"/>
      <c r="E1250" s="205">
        <v>41128</v>
      </c>
      <c r="F1250" s="206" t="s">
        <v>1185</v>
      </c>
      <c r="G1250" s="581" t="s">
        <v>1445</v>
      </c>
      <c r="H1250" s="207" t="s">
        <v>1370</v>
      </c>
      <c r="I1250" s="277"/>
      <c r="J1250" s="277"/>
      <c r="K1250" s="38">
        <v>707250</v>
      </c>
      <c r="L1250" s="208" t="s">
        <v>49</v>
      </c>
      <c r="M1250" s="208" t="s">
        <v>549</v>
      </c>
      <c r="N1250" s="55" t="str">
        <f>IF(AND('331-CT'!$E$7=TH!H1250,OR(L1250="331",M1250="331")),"x","")</f>
        <v/>
      </c>
      <c r="O1250" s="55" t="str">
        <f>IF(AND($B1250&gt;='111'!$N$11,$B1250&lt;='111'!$O$11,OR($L1250=$O$7,$M1250=$O$7)),"x","")</f>
        <v/>
      </c>
      <c r="P1250" s="55" t="str">
        <f>IF(AND($L1250=$O$7,$B1250&lt;'111'!$N$11),"x","")</f>
        <v>x</v>
      </c>
      <c r="Q1250" s="55" t="str">
        <f>IF(AND($M1250=$O$7,$B1250&lt;'111'!$N$11),"x","")</f>
        <v/>
      </c>
      <c r="R1250" s="55" t="str">
        <f>IF(ISERROR(FIND('112'!$M$9,G1250,1)),"",IF((AND(FIND('112'!$M$9,G1250,1)&gt;=1,$B1250&gt;='112'!$N$8,$B1250&lt;='112'!$O$8,OR($L1250='112'!$I$6,$M1250='112'!$I$6))),"x",""))</f>
        <v/>
      </c>
      <c r="S1250" s="55" t="str">
        <f>IF(ISERROR(FIND('112'!$M$9,G1250,1)),"",IF((AND(LEFT(G1250,2)=LEFT('112'!$M$9,2),B1250&lt;'112'!$N$8,$L1250='112'!$I$6)),"x",""))</f>
        <v/>
      </c>
      <c r="T1250" s="55" t="str">
        <f>IF(ISERROR(FIND('112'!$M$9,G1250,1)),"",IF((AND(RIGHT(G1250,2)=RIGHT('112'!$M$9,2),B1250&lt;'112'!$N$8,$M1250='112'!$I$6)),"x",""))</f>
        <v/>
      </c>
      <c r="U1250" s="55" t="str">
        <f>IF(AND('3411-CT'!$F$9=H1250,OR(LEFT(L1250,3)=$U$7,LEFT(M1250,3)=$U$7)),"x","")</f>
        <v/>
      </c>
      <c r="V1250" s="55" t="str">
        <f>IF(OR(TH!L1250=TH!$V$7,M1250=TH!$V$7),"x","")</f>
        <v/>
      </c>
      <c r="W1250" s="55" t="str">
        <f>IF(AND(OR(L1250="131",M1250="131"),H1250='131-CT'!$E$7),"x","")</f>
        <v/>
      </c>
      <c r="X1250" s="55" t="str">
        <f>IF(AND(B1250&gt;='IN-NX'!$P$3,B1250&lt;='IN-NX'!$Q$3,'IN-NX'!$D$7=D1250,OR(LEFT(TH!L1250,2)="15",LEFT(TH!M1250,2)="15")),"x","")</f>
        <v/>
      </c>
      <c r="Y1250" s="55" t="str">
        <f>IF(AND(OR(LEFT(TH!L1250,2)="15",LEFT(TH!M1250,2)="15"),'152-CT'!$J$8=TH!F1250),"x","")</f>
        <v/>
      </c>
      <c r="Z1250" s="55" t="str">
        <f>IF(AND(OR(LEFT(TH!L1250,2)="15",LEFT(TH!M1250,2)="15"),TK!$E$7=TH!F1250),"x","")</f>
        <v/>
      </c>
      <c r="AA1250" s="55" t="str">
        <f>IF(AND(B1250&lt;=NKC!$N$8,B1250&gt;=NKC!$M$8),"x","")</f>
        <v/>
      </c>
      <c r="AC1250" s="226"/>
    </row>
    <row r="1251" spans="1:29" ht="15.75" customHeight="1">
      <c r="A1251" s="219" t="str">
        <f>IF(B1251&lt;&gt;"",IF(AND(B1251&gt;=_TM1,B1251&lt;=_TM2,OR(TH!L1251="1111",TH!M1251="1111")),TH!D1251,""),"")</f>
        <v/>
      </c>
      <c r="B1251" s="36">
        <f t="shared" si="54"/>
        <v>8</v>
      </c>
      <c r="C1251" s="205">
        <f t="shared" si="53"/>
        <v>41129</v>
      </c>
      <c r="D1251" s="205"/>
      <c r="E1251" s="205">
        <v>41129</v>
      </c>
      <c r="F1251" s="206" t="s">
        <v>1446</v>
      </c>
      <c r="G1251" s="581" t="s">
        <v>1447</v>
      </c>
      <c r="H1251" s="207" t="s">
        <v>1256</v>
      </c>
      <c r="I1251" s="277">
        <v>514</v>
      </c>
      <c r="J1251" s="277">
        <v>8890</v>
      </c>
      <c r="K1251" s="38">
        <f t="shared" si="55"/>
        <v>4569460</v>
      </c>
      <c r="L1251" s="208" t="s">
        <v>49</v>
      </c>
      <c r="M1251" s="208" t="s">
        <v>208</v>
      </c>
      <c r="N1251" s="55" t="str">
        <f>IF(AND('331-CT'!$E$7=TH!H1251,OR(L1251="331",M1251="331")),"x","")</f>
        <v/>
      </c>
      <c r="O1251" s="55" t="str">
        <f>IF(AND($B1251&gt;='111'!$N$11,$B1251&lt;='111'!$O$11,OR($L1251=$O$7,$M1251=$O$7)),"x","")</f>
        <v/>
      </c>
      <c r="P1251" s="55" t="str">
        <f>IF(AND($L1251=$O$7,$B1251&lt;'111'!$N$11),"x","")</f>
        <v>x</v>
      </c>
      <c r="Q1251" s="55" t="str">
        <f>IF(AND($M1251=$O$7,$B1251&lt;'111'!$N$11),"x","")</f>
        <v/>
      </c>
      <c r="R1251" s="55" t="str">
        <f>IF(ISERROR(FIND('112'!$M$9,G1251,1)),"",IF((AND(FIND('112'!$M$9,G1251,1)&gt;=1,$B1251&gt;='112'!$N$8,$B1251&lt;='112'!$O$8,OR($L1251='112'!$I$6,$M1251='112'!$I$6))),"x",""))</f>
        <v/>
      </c>
      <c r="S1251" s="55" t="str">
        <f>IF(ISERROR(FIND('112'!$M$9,G1251,1)),"",IF((AND(LEFT(G1251,2)=LEFT('112'!$M$9,2),B1251&lt;'112'!$N$8,$L1251='112'!$I$6)),"x",""))</f>
        <v/>
      </c>
      <c r="T1251" s="55" t="str">
        <f>IF(ISERROR(FIND('112'!$M$9,G1251,1)),"",IF((AND(RIGHT(G1251,2)=RIGHT('112'!$M$9,2),B1251&lt;'112'!$N$8,$M1251='112'!$I$6)),"x",""))</f>
        <v/>
      </c>
      <c r="U1251" s="55" t="str">
        <f>IF(AND('3411-CT'!$F$9=H1251,OR(LEFT(L1251,3)=$U$7,LEFT(M1251,3)=$U$7)),"x","")</f>
        <v/>
      </c>
      <c r="V1251" s="55" t="str">
        <f>IF(OR(TH!L1251=TH!$V$7,M1251=TH!$V$7),"x","")</f>
        <v/>
      </c>
      <c r="W1251" s="55" t="str">
        <f>IF(AND(OR(L1251="131",M1251="131"),H1251='131-CT'!$E$7),"x","")</f>
        <v/>
      </c>
      <c r="X1251" s="55" t="str">
        <f>IF(AND(B1251&gt;='IN-NX'!$P$3,B1251&lt;='IN-NX'!$Q$3,'IN-NX'!$D$7=D1251,OR(LEFT(TH!L1251,2)="15",LEFT(TH!M1251,2)="15")),"x","")</f>
        <v/>
      </c>
      <c r="Y1251" s="55" t="str">
        <f>IF(AND(OR(LEFT(TH!L1251,2)="15",LEFT(TH!M1251,2)="15"),'152-CT'!$J$8=TH!F1251),"x","")</f>
        <v/>
      </c>
      <c r="Z1251" s="55" t="str">
        <f>IF(AND(OR(LEFT(TH!L1251,2)="15",LEFT(TH!M1251,2)="15"),TK!$E$7=TH!F1251),"x","")</f>
        <v/>
      </c>
      <c r="AA1251" s="55" t="str">
        <f>IF(AND(B1251&lt;=NKC!$N$8,B1251&gt;=NKC!$M$8),"x","")</f>
        <v/>
      </c>
    </row>
    <row r="1252" spans="1:29" ht="15.75" customHeight="1">
      <c r="A1252" s="219" t="str">
        <f>IF(B1252&lt;&gt;"",IF(AND(B1252&gt;=_TM1,B1252&lt;=_TM2,OR(TH!L1252="1111",TH!M1252="1111")),TH!D1252,""),"")</f>
        <v/>
      </c>
      <c r="B1252" s="36">
        <f t="shared" si="54"/>
        <v>8</v>
      </c>
      <c r="C1252" s="205">
        <f t="shared" si="53"/>
        <v>41129</v>
      </c>
      <c r="D1252" s="205"/>
      <c r="E1252" s="205">
        <v>41129</v>
      </c>
      <c r="F1252" s="206" t="s">
        <v>1427</v>
      </c>
      <c r="G1252" s="581" t="s">
        <v>1447</v>
      </c>
      <c r="H1252" s="207" t="s">
        <v>1256</v>
      </c>
      <c r="I1252" s="277">
        <v>794</v>
      </c>
      <c r="J1252" s="277">
        <v>11000</v>
      </c>
      <c r="K1252" s="38">
        <f t="shared" si="55"/>
        <v>8734000</v>
      </c>
      <c r="L1252" s="208" t="s">
        <v>49</v>
      </c>
      <c r="M1252" s="208" t="s">
        <v>208</v>
      </c>
      <c r="N1252" s="55" t="str">
        <f>IF(AND('331-CT'!$E$7=TH!H1252,OR(L1252="331",M1252="331")),"x","")</f>
        <v/>
      </c>
      <c r="O1252" s="55" t="str">
        <f>IF(AND($B1252&gt;='111'!$N$11,$B1252&lt;='111'!$O$11,OR($L1252=$O$7,$M1252=$O$7)),"x","")</f>
        <v/>
      </c>
      <c r="P1252" s="55" t="str">
        <f>IF(AND($L1252=$O$7,$B1252&lt;'111'!$N$11),"x","")</f>
        <v>x</v>
      </c>
      <c r="Q1252" s="55" t="str">
        <f>IF(AND($M1252=$O$7,$B1252&lt;'111'!$N$11),"x","")</f>
        <v/>
      </c>
      <c r="R1252" s="55" t="str">
        <f>IF(ISERROR(FIND('112'!$M$9,G1252,1)),"",IF((AND(FIND('112'!$M$9,G1252,1)&gt;=1,$B1252&gt;='112'!$N$8,$B1252&lt;='112'!$O$8,OR($L1252='112'!$I$6,$M1252='112'!$I$6))),"x",""))</f>
        <v/>
      </c>
      <c r="S1252" s="55" t="str">
        <f>IF(ISERROR(FIND('112'!$M$9,G1252,1)),"",IF((AND(LEFT(G1252,2)=LEFT('112'!$M$9,2),B1252&lt;'112'!$N$8,$L1252='112'!$I$6)),"x",""))</f>
        <v/>
      </c>
      <c r="T1252" s="55" t="str">
        <f>IF(ISERROR(FIND('112'!$M$9,G1252,1)),"",IF((AND(RIGHT(G1252,2)=RIGHT('112'!$M$9,2),B1252&lt;'112'!$N$8,$M1252='112'!$I$6)),"x",""))</f>
        <v/>
      </c>
      <c r="U1252" s="55" t="str">
        <f>IF(AND('3411-CT'!$F$9=H1252,OR(LEFT(L1252,3)=$U$7,LEFT(M1252,3)=$U$7)),"x","")</f>
        <v/>
      </c>
      <c r="V1252" s="55" t="str">
        <f>IF(OR(TH!L1252=TH!$V$7,M1252=TH!$V$7),"x","")</f>
        <v/>
      </c>
      <c r="W1252" s="55" t="str">
        <f>IF(AND(OR(L1252="131",M1252="131"),H1252='131-CT'!$E$7),"x","")</f>
        <v/>
      </c>
      <c r="X1252" s="55" t="str">
        <f>IF(AND(B1252&gt;='IN-NX'!$P$3,B1252&lt;='IN-NX'!$Q$3,'IN-NX'!$D$7=D1252,OR(LEFT(TH!L1252,2)="15",LEFT(TH!M1252,2)="15")),"x","")</f>
        <v/>
      </c>
      <c r="Y1252" s="55" t="str">
        <f>IF(AND(OR(LEFT(TH!L1252,2)="15",LEFT(TH!M1252,2)="15"),'152-CT'!$J$8=TH!F1252),"x","")</f>
        <v/>
      </c>
      <c r="Z1252" s="55" t="str">
        <f>IF(AND(OR(LEFT(TH!L1252,2)="15",LEFT(TH!M1252,2)="15"),TK!$E$7=TH!F1252),"x","")</f>
        <v/>
      </c>
      <c r="AA1252" s="55" t="str">
        <f>IF(AND(B1252&lt;=NKC!$N$8,B1252&gt;=NKC!$M$8),"x","")</f>
        <v/>
      </c>
    </row>
    <row r="1253" spans="1:29" ht="15.75" customHeight="1">
      <c r="A1253" s="219" t="str">
        <f>IF(B1253&lt;&gt;"",IF(AND(B1253&gt;=_TM1,B1253&lt;=_TM2,OR(TH!L1253="1111",TH!M1253="1111")),TH!D1253,""),"")</f>
        <v/>
      </c>
      <c r="B1253" s="36">
        <f t="shared" si="54"/>
        <v>8</v>
      </c>
      <c r="C1253" s="205">
        <f t="shared" si="53"/>
        <v>41129</v>
      </c>
      <c r="D1253" s="205"/>
      <c r="E1253" s="205">
        <v>41129</v>
      </c>
      <c r="F1253" s="206" t="s">
        <v>1185</v>
      </c>
      <c r="G1253" s="581" t="s">
        <v>1447</v>
      </c>
      <c r="H1253" s="207" t="s">
        <v>1256</v>
      </c>
      <c r="I1253" s="277"/>
      <c r="J1253" s="277"/>
      <c r="K1253" s="38">
        <v>1330346</v>
      </c>
      <c r="L1253" s="208" t="s">
        <v>49</v>
      </c>
      <c r="M1253" s="208" t="s">
        <v>549</v>
      </c>
      <c r="N1253" s="55" t="str">
        <f>IF(AND('331-CT'!$E$7=TH!H1253,OR(L1253="331",M1253="331")),"x","")</f>
        <v/>
      </c>
      <c r="O1253" s="55" t="str">
        <f>IF(AND($B1253&gt;='111'!$N$11,$B1253&lt;='111'!$O$11,OR($L1253=$O$7,$M1253=$O$7)),"x","")</f>
        <v/>
      </c>
      <c r="P1253" s="55" t="str">
        <f>IF(AND($L1253=$O$7,$B1253&lt;'111'!$N$11),"x","")</f>
        <v>x</v>
      </c>
      <c r="Q1253" s="55" t="str">
        <f>IF(AND($M1253=$O$7,$B1253&lt;'111'!$N$11),"x","")</f>
        <v/>
      </c>
      <c r="R1253" s="55" t="str">
        <f>IF(ISERROR(FIND('112'!$M$9,G1253,1)),"",IF((AND(FIND('112'!$M$9,G1253,1)&gt;=1,$B1253&gt;='112'!$N$8,$B1253&lt;='112'!$O$8,OR($L1253='112'!$I$6,$M1253='112'!$I$6))),"x",""))</f>
        <v/>
      </c>
      <c r="S1253" s="55" t="str">
        <f>IF(ISERROR(FIND('112'!$M$9,G1253,1)),"",IF((AND(LEFT(G1253,2)=LEFT('112'!$M$9,2),B1253&lt;'112'!$N$8,$L1253='112'!$I$6)),"x",""))</f>
        <v/>
      </c>
      <c r="T1253" s="55" t="str">
        <f>IF(ISERROR(FIND('112'!$M$9,G1253,1)),"",IF((AND(RIGHT(G1253,2)=RIGHT('112'!$M$9,2),B1253&lt;'112'!$N$8,$M1253='112'!$I$6)),"x",""))</f>
        <v/>
      </c>
      <c r="U1253" s="55" t="str">
        <f>IF(AND('3411-CT'!$F$9=H1253,OR(LEFT(L1253,3)=$U$7,LEFT(M1253,3)=$U$7)),"x","")</f>
        <v/>
      </c>
      <c r="V1253" s="55" t="str">
        <f>IF(OR(TH!L1253=TH!$V$7,M1253=TH!$V$7),"x","")</f>
        <v/>
      </c>
      <c r="W1253" s="55" t="str">
        <f>IF(AND(OR(L1253="131",M1253="131"),H1253='131-CT'!$E$7),"x","")</f>
        <v/>
      </c>
      <c r="X1253" s="55" t="str">
        <f>IF(AND(B1253&gt;='IN-NX'!$P$3,B1253&lt;='IN-NX'!$Q$3,'IN-NX'!$D$7=D1253,OR(LEFT(TH!L1253,2)="15",LEFT(TH!M1253,2)="15")),"x","")</f>
        <v/>
      </c>
      <c r="Y1253" s="55" t="str">
        <f>IF(AND(OR(LEFT(TH!L1253,2)="15",LEFT(TH!M1253,2)="15"),'152-CT'!$J$8=TH!F1253),"x","")</f>
        <v/>
      </c>
      <c r="Z1253" s="55" t="str">
        <f>IF(AND(OR(LEFT(TH!L1253,2)="15",LEFT(TH!M1253,2)="15"),TK!$E$7=TH!F1253),"x","")</f>
        <v/>
      </c>
      <c r="AA1253" s="55" t="str">
        <f>IF(AND(B1253&lt;=NKC!$N$8,B1253&gt;=NKC!$M$8),"x","")</f>
        <v/>
      </c>
      <c r="AC1253" s="226"/>
    </row>
    <row r="1254" spans="1:29" ht="15.75" customHeight="1">
      <c r="A1254" s="219" t="str">
        <f>IF(B1254&lt;&gt;"",IF(AND(B1254&gt;=_TM1,B1254&lt;=_TM2,OR(TH!L1254="1111",TH!M1254="1111")),TH!D1254,""),"")</f>
        <v/>
      </c>
      <c r="B1254" s="36">
        <f t="shared" si="54"/>
        <v>8</v>
      </c>
      <c r="C1254" s="205">
        <f t="shared" si="53"/>
        <v>41129</v>
      </c>
      <c r="D1254" s="205"/>
      <c r="E1254" s="205">
        <v>41129</v>
      </c>
      <c r="F1254" s="206" t="s">
        <v>1448</v>
      </c>
      <c r="G1254" s="581" t="s">
        <v>695</v>
      </c>
      <c r="H1254" s="207" t="s">
        <v>1144</v>
      </c>
      <c r="I1254" s="277">
        <v>920</v>
      </c>
      <c r="J1254" s="277">
        <v>5800</v>
      </c>
      <c r="K1254" s="38">
        <f t="shared" si="55"/>
        <v>5336000</v>
      </c>
      <c r="L1254" s="208" t="s">
        <v>311</v>
      </c>
      <c r="M1254" s="208" t="s">
        <v>208</v>
      </c>
      <c r="N1254" s="55" t="str">
        <f>IF(AND('331-CT'!$E$7=TH!H1254,OR(L1254="331",M1254="331")),"x","")</f>
        <v/>
      </c>
      <c r="O1254" s="55" t="str">
        <f>IF(AND($B1254&gt;='111'!$N$11,$B1254&lt;='111'!$O$11,OR($L1254=$O$7,$M1254=$O$7)),"x","")</f>
        <v/>
      </c>
      <c r="P1254" s="55" t="str">
        <f>IF(AND($L1254=$O$7,$B1254&lt;'111'!$N$11),"x","")</f>
        <v/>
      </c>
      <c r="Q1254" s="55" t="str">
        <f>IF(AND($M1254=$O$7,$B1254&lt;'111'!$N$11),"x","")</f>
        <v/>
      </c>
      <c r="R1254" s="55" t="str">
        <f>IF(ISERROR(FIND('112'!$M$9,G1254,1)),"",IF((AND(FIND('112'!$M$9,G1254,1)&gt;=1,$B1254&gt;='112'!$N$8,$B1254&lt;='112'!$O$8,OR($L1254='112'!$I$6,$M1254='112'!$I$6))),"x",""))</f>
        <v/>
      </c>
      <c r="S1254" s="55" t="str">
        <f>IF(ISERROR(FIND('112'!$M$9,G1254,1)),"",IF((AND(LEFT(G1254,2)=LEFT('112'!$M$9,2),B1254&lt;'112'!$N$8,$L1254='112'!$I$6)),"x",""))</f>
        <v/>
      </c>
      <c r="T1254" s="55" t="str">
        <f>IF(ISERROR(FIND('112'!$M$9,G1254,1)),"",IF((AND(RIGHT(G1254,2)=RIGHT('112'!$M$9,2),B1254&lt;'112'!$N$8,$M1254='112'!$I$6)),"x",""))</f>
        <v/>
      </c>
      <c r="U1254" s="55" t="str">
        <f>IF(AND('3411-CT'!$F$9=H1254,OR(LEFT(L1254,3)=$U$7,LEFT(M1254,3)=$U$7)),"x","")</f>
        <v/>
      </c>
      <c r="V1254" s="55" t="str">
        <f>IF(OR(TH!L1254=TH!$V$7,M1254=TH!$V$7),"x","")</f>
        <v/>
      </c>
      <c r="W1254" s="55" t="str">
        <f>IF(AND(OR(L1254="131",M1254="131"),H1254='131-CT'!$E$7),"x","")</f>
        <v/>
      </c>
      <c r="X1254" s="55" t="str">
        <f>IF(AND(B1254&gt;='IN-NX'!$P$3,B1254&lt;='IN-NX'!$Q$3,'IN-NX'!$D$7=D1254,OR(LEFT(TH!L1254,2)="15",LEFT(TH!M1254,2)="15")),"x","")</f>
        <v/>
      </c>
      <c r="Y1254" s="55" t="str">
        <f>IF(AND(OR(LEFT(TH!L1254,2)="15",LEFT(TH!M1254,2)="15"),'152-CT'!$J$8=TH!F1254),"x","")</f>
        <v/>
      </c>
      <c r="Z1254" s="55" t="str">
        <f>IF(AND(OR(LEFT(TH!L1254,2)="15",LEFT(TH!M1254,2)="15"),TK!$E$7=TH!F1254),"x","")</f>
        <v/>
      </c>
      <c r="AA1254" s="55" t="str">
        <f>IF(AND(B1254&lt;=NKC!$N$8,B1254&gt;=NKC!$M$8),"x","")</f>
        <v/>
      </c>
    </row>
    <row r="1255" spans="1:29" ht="15.75" customHeight="1">
      <c r="A1255" s="219" t="str">
        <f>IF(B1255&lt;&gt;"",IF(AND(B1255&gt;=_TM1,B1255&lt;=_TM2,OR(TH!L1255="1111",TH!M1255="1111")),TH!D1255,""),"")</f>
        <v/>
      </c>
      <c r="B1255" s="36">
        <f t="shared" si="54"/>
        <v>8</v>
      </c>
      <c r="C1255" s="205">
        <f t="shared" si="53"/>
        <v>41129</v>
      </c>
      <c r="D1255" s="205"/>
      <c r="E1255" s="205">
        <v>41129</v>
      </c>
      <c r="F1255" s="206" t="s">
        <v>1185</v>
      </c>
      <c r="G1255" s="581" t="s">
        <v>695</v>
      </c>
      <c r="H1255" s="207" t="s">
        <v>1144</v>
      </c>
      <c r="I1255" s="277"/>
      <c r="J1255" s="277"/>
      <c r="K1255" s="38">
        <v>533600</v>
      </c>
      <c r="L1255" s="208" t="s">
        <v>311</v>
      </c>
      <c r="M1255" s="208" t="s">
        <v>549</v>
      </c>
      <c r="N1255" s="55" t="str">
        <f>IF(AND('331-CT'!$E$7=TH!H1255,OR(L1255="331",M1255="331")),"x","")</f>
        <v/>
      </c>
      <c r="O1255" s="55" t="str">
        <f>IF(AND($B1255&gt;='111'!$N$11,$B1255&lt;='111'!$O$11,OR($L1255=$O$7,$M1255=$O$7)),"x","")</f>
        <v/>
      </c>
      <c r="P1255" s="55" t="str">
        <f>IF(AND($L1255=$O$7,$B1255&lt;'111'!$N$11),"x","")</f>
        <v/>
      </c>
      <c r="Q1255" s="55" t="str">
        <f>IF(AND($M1255=$O$7,$B1255&lt;'111'!$N$11),"x","")</f>
        <v/>
      </c>
      <c r="R1255" s="55" t="str">
        <f>IF(ISERROR(FIND('112'!$M$9,G1255,1)),"",IF((AND(FIND('112'!$M$9,G1255,1)&gt;=1,$B1255&gt;='112'!$N$8,$B1255&lt;='112'!$O$8,OR($L1255='112'!$I$6,$M1255='112'!$I$6))),"x",""))</f>
        <v/>
      </c>
      <c r="S1255" s="55" t="str">
        <f>IF(ISERROR(FIND('112'!$M$9,G1255,1)),"",IF((AND(LEFT(G1255,2)=LEFT('112'!$M$9,2),B1255&lt;'112'!$N$8,$L1255='112'!$I$6)),"x",""))</f>
        <v/>
      </c>
      <c r="T1255" s="55" t="str">
        <f>IF(ISERROR(FIND('112'!$M$9,G1255,1)),"",IF((AND(RIGHT(G1255,2)=RIGHT('112'!$M$9,2),B1255&lt;'112'!$N$8,$M1255='112'!$I$6)),"x",""))</f>
        <v/>
      </c>
      <c r="U1255" s="55" t="str">
        <f>IF(AND('3411-CT'!$F$9=H1255,OR(LEFT(L1255,3)=$U$7,LEFT(M1255,3)=$U$7)),"x","")</f>
        <v/>
      </c>
      <c r="V1255" s="55" t="str">
        <f>IF(OR(TH!L1255=TH!$V$7,M1255=TH!$V$7),"x","")</f>
        <v/>
      </c>
      <c r="W1255" s="55" t="str">
        <f>IF(AND(OR(L1255="131",M1255="131"),H1255='131-CT'!$E$7),"x","")</f>
        <v/>
      </c>
      <c r="X1255" s="55" t="str">
        <f>IF(AND(B1255&gt;='IN-NX'!$P$3,B1255&lt;='IN-NX'!$Q$3,'IN-NX'!$D$7=D1255,OR(LEFT(TH!L1255,2)="15",LEFT(TH!M1255,2)="15")),"x","")</f>
        <v/>
      </c>
      <c r="Y1255" s="55" t="str">
        <f>IF(AND(OR(LEFT(TH!L1255,2)="15",LEFT(TH!M1255,2)="15"),'152-CT'!$J$8=TH!F1255),"x","")</f>
        <v/>
      </c>
      <c r="Z1255" s="55" t="str">
        <f>IF(AND(OR(LEFT(TH!L1255,2)="15",LEFT(TH!M1255,2)="15"),TK!$E$7=TH!F1255),"x","")</f>
        <v/>
      </c>
      <c r="AA1255" s="55" t="str">
        <f>IF(AND(B1255&lt;=NKC!$N$8,B1255&gt;=NKC!$M$8),"x","")</f>
        <v/>
      </c>
      <c r="AC1255" s="226"/>
    </row>
    <row r="1256" spans="1:29" ht="15.75" customHeight="1">
      <c r="A1256" s="219" t="str">
        <f>IF(B1256&lt;&gt;"",IF(AND(B1256&gt;=_TM1,B1256&lt;=_TM2,OR(TH!L1256="1111",TH!M1256="1111")),TH!D1256,""),"")</f>
        <v/>
      </c>
      <c r="B1256" s="36">
        <f t="shared" si="54"/>
        <v>8</v>
      </c>
      <c r="C1256" s="205">
        <f t="shared" si="53"/>
        <v>41136</v>
      </c>
      <c r="D1256" s="205"/>
      <c r="E1256" s="205">
        <v>41136</v>
      </c>
      <c r="F1256" s="206" t="s">
        <v>1449</v>
      </c>
      <c r="G1256" s="581" t="s">
        <v>1450</v>
      </c>
      <c r="H1256" s="7" t="s">
        <v>1131</v>
      </c>
      <c r="I1256" s="277">
        <v>1024</v>
      </c>
      <c r="J1256" s="277">
        <v>10900</v>
      </c>
      <c r="K1256" s="38">
        <f t="shared" si="55"/>
        <v>11161600</v>
      </c>
      <c r="L1256" s="208" t="s">
        <v>311</v>
      </c>
      <c r="M1256" s="208" t="s">
        <v>208</v>
      </c>
      <c r="N1256" s="55" t="str">
        <f>IF(AND('331-CT'!$E$7=TH!H1256,OR(L1256="331",M1256="331")),"x","")</f>
        <v/>
      </c>
      <c r="O1256" s="55" t="str">
        <f>IF(AND($B1256&gt;='111'!$N$11,$B1256&lt;='111'!$O$11,OR($L1256=$O$7,$M1256=$O$7)),"x","")</f>
        <v/>
      </c>
      <c r="P1256" s="55" t="str">
        <f>IF(AND($L1256=$O$7,$B1256&lt;'111'!$N$11),"x","")</f>
        <v/>
      </c>
      <c r="Q1256" s="55" t="str">
        <f>IF(AND($M1256=$O$7,$B1256&lt;'111'!$N$11),"x","")</f>
        <v/>
      </c>
      <c r="R1256" s="55" t="str">
        <f>IF(ISERROR(FIND('112'!$M$9,G1256,1)),"",IF((AND(FIND('112'!$M$9,G1256,1)&gt;=1,$B1256&gt;='112'!$N$8,$B1256&lt;='112'!$O$8,OR($L1256='112'!$I$6,$M1256='112'!$I$6))),"x",""))</f>
        <v/>
      </c>
      <c r="S1256" s="55" t="str">
        <f>IF(ISERROR(FIND('112'!$M$9,G1256,1)),"",IF((AND(LEFT(G1256,2)=LEFT('112'!$M$9,2),B1256&lt;'112'!$N$8,$L1256='112'!$I$6)),"x",""))</f>
        <v/>
      </c>
      <c r="T1256" s="55" t="str">
        <f>IF(ISERROR(FIND('112'!$M$9,G1256,1)),"",IF((AND(RIGHT(G1256,2)=RIGHT('112'!$M$9,2),B1256&lt;'112'!$N$8,$M1256='112'!$I$6)),"x",""))</f>
        <v/>
      </c>
      <c r="U1256" s="55" t="str">
        <f>IF(AND('3411-CT'!$F$9=H1256,OR(LEFT(L1256,3)=$U$7,LEFT(M1256,3)=$U$7)),"x","")</f>
        <v/>
      </c>
      <c r="V1256" s="55" t="str">
        <f>IF(OR(TH!L1256=TH!$V$7,M1256=TH!$V$7),"x","")</f>
        <v/>
      </c>
      <c r="W1256" s="55" t="str">
        <f>IF(AND(OR(L1256="131",M1256="131"),H1256='131-CT'!$E$7),"x","")</f>
        <v/>
      </c>
      <c r="X1256" s="55" t="str">
        <f>IF(AND(B1256&gt;='IN-NX'!$P$3,B1256&lt;='IN-NX'!$Q$3,'IN-NX'!$D$7=D1256,OR(LEFT(TH!L1256,2)="15",LEFT(TH!M1256,2)="15")),"x","")</f>
        <v/>
      </c>
      <c r="Y1256" s="55" t="str">
        <f>IF(AND(OR(LEFT(TH!L1256,2)="15",LEFT(TH!M1256,2)="15"),'152-CT'!$J$8=TH!F1256),"x","")</f>
        <v/>
      </c>
      <c r="Z1256" s="55" t="str">
        <f>IF(AND(OR(LEFT(TH!L1256,2)="15",LEFT(TH!M1256,2)="15"),TK!$E$7=TH!F1256),"x","")</f>
        <v/>
      </c>
      <c r="AA1256" s="55" t="str">
        <f>IF(AND(B1256&lt;=NKC!$N$8,B1256&gt;=NKC!$M$8),"x","")</f>
        <v/>
      </c>
    </row>
    <row r="1257" spans="1:29" ht="15.75" customHeight="1">
      <c r="A1257" s="219" t="str">
        <f>IF(B1257&lt;&gt;"",IF(AND(B1257&gt;=_TM1,B1257&lt;=_TM2,OR(TH!L1257="1111",TH!M1257="1111")),TH!D1257,""),"")</f>
        <v/>
      </c>
      <c r="B1257" s="36">
        <f t="shared" si="54"/>
        <v>8</v>
      </c>
      <c r="C1257" s="205">
        <f t="shared" si="53"/>
        <v>41136</v>
      </c>
      <c r="D1257" s="205"/>
      <c r="E1257" s="205">
        <v>41136</v>
      </c>
      <c r="F1257" s="206" t="s">
        <v>1185</v>
      </c>
      <c r="G1257" s="581" t="s">
        <v>1450</v>
      </c>
      <c r="H1257" s="7" t="s">
        <v>1131</v>
      </c>
      <c r="I1257" s="277"/>
      <c r="J1257" s="277"/>
      <c r="K1257" s="38">
        <v>1116160</v>
      </c>
      <c r="L1257" s="208" t="s">
        <v>311</v>
      </c>
      <c r="M1257" s="208" t="s">
        <v>549</v>
      </c>
      <c r="N1257" s="55" t="str">
        <f>IF(AND('331-CT'!$E$7=TH!H1257,OR(L1257="331",M1257="331")),"x","")</f>
        <v/>
      </c>
      <c r="O1257" s="55" t="str">
        <f>IF(AND($B1257&gt;='111'!$N$11,$B1257&lt;='111'!$O$11,OR($L1257=$O$7,$M1257=$O$7)),"x","")</f>
        <v/>
      </c>
      <c r="P1257" s="55" t="str">
        <f>IF(AND($L1257=$O$7,$B1257&lt;'111'!$N$11),"x","")</f>
        <v/>
      </c>
      <c r="Q1257" s="55" t="str">
        <f>IF(AND($M1257=$O$7,$B1257&lt;'111'!$N$11),"x","")</f>
        <v/>
      </c>
      <c r="R1257" s="55" t="str">
        <f>IF(ISERROR(FIND('112'!$M$9,G1257,1)),"",IF((AND(FIND('112'!$M$9,G1257,1)&gt;=1,$B1257&gt;='112'!$N$8,$B1257&lt;='112'!$O$8,OR($L1257='112'!$I$6,$M1257='112'!$I$6))),"x",""))</f>
        <v/>
      </c>
      <c r="S1257" s="55" t="str">
        <f>IF(ISERROR(FIND('112'!$M$9,G1257,1)),"",IF((AND(LEFT(G1257,2)=LEFT('112'!$M$9,2),B1257&lt;'112'!$N$8,$L1257='112'!$I$6)),"x",""))</f>
        <v/>
      </c>
      <c r="T1257" s="55" t="str">
        <f>IF(ISERROR(FIND('112'!$M$9,G1257,1)),"",IF((AND(RIGHT(G1257,2)=RIGHT('112'!$M$9,2),B1257&lt;'112'!$N$8,$M1257='112'!$I$6)),"x",""))</f>
        <v/>
      </c>
      <c r="U1257" s="55" t="str">
        <f>IF(AND('3411-CT'!$F$9=H1257,OR(LEFT(L1257,3)=$U$7,LEFT(M1257,3)=$U$7)),"x","")</f>
        <v/>
      </c>
      <c r="V1257" s="55" t="str">
        <f>IF(OR(TH!L1257=TH!$V$7,M1257=TH!$V$7),"x","")</f>
        <v/>
      </c>
      <c r="W1257" s="55" t="str">
        <f>IF(AND(OR(L1257="131",M1257="131"),H1257='131-CT'!$E$7),"x","")</f>
        <v/>
      </c>
      <c r="X1257" s="55" t="str">
        <f>IF(AND(B1257&gt;='IN-NX'!$P$3,B1257&lt;='IN-NX'!$Q$3,'IN-NX'!$D$7=D1257,OR(LEFT(TH!L1257,2)="15",LEFT(TH!M1257,2)="15")),"x","")</f>
        <v/>
      </c>
      <c r="Y1257" s="55" t="str">
        <f>IF(AND(OR(LEFT(TH!L1257,2)="15",LEFT(TH!M1257,2)="15"),'152-CT'!$J$8=TH!F1257),"x","")</f>
        <v/>
      </c>
      <c r="Z1257" s="55" t="str">
        <f>IF(AND(OR(LEFT(TH!L1257,2)="15",LEFT(TH!M1257,2)="15"),TK!$E$7=TH!F1257),"x","")</f>
        <v/>
      </c>
      <c r="AA1257" s="55" t="str">
        <f>IF(AND(B1257&lt;=NKC!$N$8,B1257&gt;=NKC!$M$8),"x","")</f>
        <v/>
      </c>
      <c r="AC1257" s="226"/>
    </row>
    <row r="1258" spans="1:29" ht="15.75" customHeight="1">
      <c r="A1258" s="219" t="str">
        <f>IF(B1258&lt;&gt;"",IF(AND(B1258&gt;=_TM1,B1258&lt;=_TM2,OR(TH!L1258="1111",TH!M1258="1111")),TH!D1258,""),"")</f>
        <v/>
      </c>
      <c r="B1258" s="36">
        <f t="shared" si="54"/>
        <v>8</v>
      </c>
      <c r="C1258" s="205">
        <f t="shared" si="53"/>
        <v>41137</v>
      </c>
      <c r="D1258" s="205"/>
      <c r="E1258" s="205">
        <v>41137</v>
      </c>
      <c r="F1258" s="206" t="s">
        <v>1451</v>
      </c>
      <c r="G1258" s="581" t="s">
        <v>1452</v>
      </c>
      <c r="H1258" s="207" t="s">
        <v>1148</v>
      </c>
      <c r="I1258" s="277">
        <v>507</v>
      </c>
      <c r="J1258" s="277">
        <v>11020</v>
      </c>
      <c r="K1258" s="38">
        <f t="shared" si="55"/>
        <v>5587140</v>
      </c>
      <c r="L1258" s="208" t="s">
        <v>49</v>
      </c>
      <c r="M1258" s="208" t="s">
        <v>208</v>
      </c>
      <c r="N1258" s="55" t="str">
        <f>IF(AND('331-CT'!$E$7=TH!H1258,OR(L1258="331",M1258="331")),"x","")</f>
        <v/>
      </c>
      <c r="O1258" s="55" t="str">
        <f>IF(AND($B1258&gt;='111'!$N$11,$B1258&lt;='111'!$O$11,OR($L1258=$O$7,$M1258=$O$7)),"x","")</f>
        <v/>
      </c>
      <c r="P1258" s="55" t="str">
        <f>IF(AND($L1258=$O$7,$B1258&lt;'111'!$N$11),"x","")</f>
        <v>x</v>
      </c>
      <c r="Q1258" s="55" t="str">
        <f>IF(AND($M1258=$O$7,$B1258&lt;'111'!$N$11),"x","")</f>
        <v/>
      </c>
      <c r="R1258" s="55" t="str">
        <f>IF(ISERROR(FIND('112'!$M$9,G1258,1)),"",IF((AND(FIND('112'!$M$9,G1258,1)&gt;=1,$B1258&gt;='112'!$N$8,$B1258&lt;='112'!$O$8,OR($L1258='112'!$I$6,$M1258='112'!$I$6))),"x",""))</f>
        <v/>
      </c>
      <c r="S1258" s="55" t="str">
        <f>IF(ISERROR(FIND('112'!$M$9,G1258,1)),"",IF((AND(LEFT(G1258,2)=LEFT('112'!$M$9,2),B1258&lt;'112'!$N$8,$L1258='112'!$I$6)),"x",""))</f>
        <v/>
      </c>
      <c r="T1258" s="55" t="str">
        <f>IF(ISERROR(FIND('112'!$M$9,G1258,1)),"",IF((AND(RIGHT(G1258,2)=RIGHT('112'!$M$9,2),B1258&lt;'112'!$N$8,$M1258='112'!$I$6)),"x",""))</f>
        <v/>
      </c>
      <c r="U1258" s="55" t="str">
        <f>IF(AND('3411-CT'!$F$9=H1258,OR(LEFT(L1258,3)=$U$7,LEFT(M1258,3)=$U$7)),"x","")</f>
        <v/>
      </c>
      <c r="V1258" s="55" t="str">
        <f>IF(OR(TH!L1258=TH!$V$7,M1258=TH!$V$7),"x","")</f>
        <v/>
      </c>
      <c r="W1258" s="55" t="str">
        <f>IF(AND(OR(L1258="131",M1258="131"),H1258='131-CT'!$E$7),"x","")</f>
        <v/>
      </c>
      <c r="X1258" s="55" t="str">
        <f>IF(AND(B1258&gt;='IN-NX'!$P$3,B1258&lt;='IN-NX'!$Q$3,'IN-NX'!$D$7=D1258,OR(LEFT(TH!L1258,2)="15",LEFT(TH!M1258,2)="15")),"x","")</f>
        <v/>
      </c>
      <c r="Y1258" s="55" t="str">
        <f>IF(AND(OR(LEFT(TH!L1258,2)="15",LEFT(TH!M1258,2)="15"),'152-CT'!$J$8=TH!F1258),"x","")</f>
        <v/>
      </c>
      <c r="Z1258" s="55" t="str">
        <f>IF(AND(OR(LEFT(TH!L1258,2)="15",LEFT(TH!M1258,2)="15"),TK!$E$7=TH!F1258),"x","")</f>
        <v/>
      </c>
      <c r="AA1258" s="55" t="str">
        <f>IF(AND(B1258&lt;=NKC!$N$8,B1258&gt;=NKC!$M$8),"x","")</f>
        <v/>
      </c>
    </row>
    <row r="1259" spans="1:29" ht="15.75" customHeight="1">
      <c r="A1259" s="219" t="str">
        <f>IF(B1259&lt;&gt;"",IF(AND(B1259&gt;=_TM1,B1259&lt;=_TM2,OR(TH!L1259="1111",TH!M1259="1111")),TH!D1259,""),"")</f>
        <v/>
      </c>
      <c r="B1259" s="36">
        <f t="shared" si="54"/>
        <v>8</v>
      </c>
      <c r="C1259" s="205">
        <f t="shared" si="53"/>
        <v>41137</v>
      </c>
      <c r="D1259" s="205"/>
      <c r="E1259" s="205">
        <v>41137</v>
      </c>
      <c r="F1259" s="206" t="s">
        <v>1453</v>
      </c>
      <c r="G1259" s="581" t="s">
        <v>1452</v>
      </c>
      <c r="H1259" s="207" t="s">
        <v>1148</v>
      </c>
      <c r="I1259" s="277">
        <v>203</v>
      </c>
      <c r="J1259" s="277">
        <v>7235</v>
      </c>
      <c r="K1259" s="38">
        <f t="shared" si="55"/>
        <v>1468705</v>
      </c>
      <c r="L1259" s="208" t="s">
        <v>49</v>
      </c>
      <c r="M1259" s="208" t="s">
        <v>208</v>
      </c>
      <c r="N1259" s="55" t="str">
        <f>IF(AND('331-CT'!$E$7=TH!H1259,OR(L1259="331",M1259="331")),"x","")</f>
        <v/>
      </c>
      <c r="O1259" s="55" t="str">
        <f>IF(AND($B1259&gt;='111'!$N$11,$B1259&lt;='111'!$O$11,OR($L1259=$O$7,$M1259=$O$7)),"x","")</f>
        <v/>
      </c>
      <c r="P1259" s="55" t="str">
        <f>IF(AND($L1259=$O$7,$B1259&lt;'111'!$N$11),"x","")</f>
        <v>x</v>
      </c>
      <c r="Q1259" s="55" t="str">
        <f>IF(AND($M1259=$O$7,$B1259&lt;'111'!$N$11),"x","")</f>
        <v/>
      </c>
      <c r="R1259" s="55" t="str">
        <f>IF(ISERROR(FIND('112'!$M$9,G1259,1)),"",IF((AND(FIND('112'!$M$9,G1259,1)&gt;=1,$B1259&gt;='112'!$N$8,$B1259&lt;='112'!$O$8,OR($L1259='112'!$I$6,$M1259='112'!$I$6))),"x",""))</f>
        <v/>
      </c>
      <c r="S1259" s="55" t="str">
        <f>IF(ISERROR(FIND('112'!$M$9,G1259,1)),"",IF((AND(LEFT(G1259,2)=LEFT('112'!$M$9,2),B1259&lt;'112'!$N$8,$L1259='112'!$I$6)),"x",""))</f>
        <v/>
      </c>
      <c r="T1259" s="55" t="str">
        <f>IF(ISERROR(FIND('112'!$M$9,G1259,1)),"",IF((AND(RIGHT(G1259,2)=RIGHT('112'!$M$9,2),B1259&lt;'112'!$N$8,$M1259='112'!$I$6)),"x",""))</f>
        <v/>
      </c>
      <c r="U1259" s="55" t="str">
        <f>IF(AND('3411-CT'!$F$9=H1259,OR(LEFT(L1259,3)=$U$7,LEFT(M1259,3)=$U$7)),"x","")</f>
        <v/>
      </c>
      <c r="V1259" s="55" t="str">
        <f>IF(OR(TH!L1259=TH!$V$7,M1259=TH!$V$7),"x","")</f>
        <v/>
      </c>
      <c r="W1259" s="55" t="str">
        <f>IF(AND(OR(L1259="131",M1259="131"),H1259='131-CT'!$E$7),"x","")</f>
        <v/>
      </c>
      <c r="X1259" s="55" t="str">
        <f>IF(AND(B1259&gt;='IN-NX'!$P$3,B1259&lt;='IN-NX'!$Q$3,'IN-NX'!$D$7=D1259,OR(LEFT(TH!L1259,2)="15",LEFT(TH!M1259,2)="15")),"x","")</f>
        <v/>
      </c>
      <c r="Y1259" s="55" t="str">
        <f>IF(AND(OR(LEFT(TH!L1259,2)="15",LEFT(TH!M1259,2)="15"),'152-CT'!$J$8=TH!F1259),"x","")</f>
        <v/>
      </c>
      <c r="Z1259" s="55" t="str">
        <f>IF(AND(OR(LEFT(TH!L1259,2)="15",LEFT(TH!M1259,2)="15"),TK!$E$7=TH!F1259),"x","")</f>
        <v/>
      </c>
      <c r="AA1259" s="55" t="str">
        <f>IF(AND(B1259&lt;=NKC!$N$8,B1259&gt;=NKC!$M$8),"x","")</f>
        <v/>
      </c>
    </row>
    <row r="1260" spans="1:29" s="226" customFormat="1" ht="15.75" customHeight="1">
      <c r="A1260" s="219" t="str">
        <f>IF(B1260&lt;&gt;"",IF(AND(B1260&gt;=_TM1,B1260&lt;=_TM2,OR(TH!L1260="1111",TH!M1260="1111")),TH!D1260,""),"")</f>
        <v/>
      </c>
      <c r="B1260" s="36">
        <f t="shared" si="39"/>
        <v>8</v>
      </c>
      <c r="C1260" s="205">
        <f t="shared" si="53"/>
        <v>41137</v>
      </c>
      <c r="D1260" s="205"/>
      <c r="E1260" s="205">
        <v>41137</v>
      </c>
      <c r="F1260" s="206" t="s">
        <v>1185</v>
      </c>
      <c r="G1260" s="581" t="s">
        <v>1452</v>
      </c>
      <c r="H1260" s="207" t="s">
        <v>1148</v>
      </c>
      <c r="I1260" s="277"/>
      <c r="J1260" s="277"/>
      <c r="K1260" s="38">
        <v>705585</v>
      </c>
      <c r="L1260" s="208" t="s">
        <v>49</v>
      </c>
      <c r="M1260" s="208" t="s">
        <v>549</v>
      </c>
      <c r="N1260" s="55" t="str">
        <f>IF(AND('331-CT'!$E$7=TH!H1260,OR(L1260="331",M1260="331")),"x","")</f>
        <v/>
      </c>
      <c r="O1260" s="55" t="str">
        <f>IF(AND($B1260&gt;='111'!$N$11,$B1260&lt;='111'!$O$11,OR($L1260=$O$7,$M1260=$O$7)),"x","")</f>
        <v/>
      </c>
      <c r="P1260" s="55" t="str">
        <f>IF(AND($L1260=$O$7,$B1260&lt;'111'!$N$11),"x","")</f>
        <v>x</v>
      </c>
      <c r="Q1260" s="55" t="str">
        <f>IF(AND($M1260=$O$7,$B1260&lt;'111'!$N$11),"x","")</f>
        <v/>
      </c>
      <c r="R1260" s="55" t="str">
        <f>IF(ISERROR(FIND('112'!$M$9,G1260,1)),"",IF((AND(FIND('112'!$M$9,G1260,1)&gt;=1,$B1260&gt;='112'!$N$8,$B1260&lt;='112'!$O$8,OR($L1260='112'!$I$6,$M1260='112'!$I$6))),"x",""))</f>
        <v/>
      </c>
      <c r="S1260" s="55" t="str">
        <f>IF(ISERROR(FIND('112'!$M$9,G1260,1)),"",IF((AND(LEFT(G1260,2)=LEFT('112'!$M$9,2),B1260&lt;'112'!$N$8,$L1260='112'!$I$6)),"x",""))</f>
        <v/>
      </c>
      <c r="T1260" s="55" t="str">
        <f>IF(ISERROR(FIND('112'!$M$9,G1260,1)),"",IF((AND(RIGHT(G1260,2)=RIGHT('112'!$M$9,2),B1260&lt;'112'!$N$8,$M1260='112'!$I$6)),"x",""))</f>
        <v/>
      </c>
      <c r="U1260" s="55" t="str">
        <f>IF(AND('3411-CT'!$F$9=H1260,OR(LEFT(L1260,3)=$U$7,LEFT(M1260,3)=$U$7)),"x","")</f>
        <v/>
      </c>
      <c r="V1260" s="55" t="str">
        <f>IF(OR(TH!L1260=TH!$V$7,M1260=TH!$V$7),"x","")</f>
        <v/>
      </c>
      <c r="W1260" s="55" t="str">
        <f>IF(AND(OR(L1260="131",M1260="131"),H1260='131-CT'!$E$7),"x","")</f>
        <v/>
      </c>
      <c r="X1260" s="55" t="str">
        <f>IF(AND(B1260&gt;='IN-NX'!$P$3,B1260&lt;='IN-NX'!$Q$3,'IN-NX'!$D$7=D1260,OR(LEFT(TH!L1260,2)="15",LEFT(TH!M1260,2)="15")),"x","")</f>
        <v/>
      </c>
      <c r="Y1260" s="55" t="str">
        <f>IF(AND(OR(LEFT(TH!L1260,2)="15",LEFT(TH!M1260,2)="15"),'152-CT'!$J$8=TH!F1260),"x","")</f>
        <v/>
      </c>
      <c r="Z1260" s="55" t="str">
        <f>IF(AND(OR(LEFT(TH!L1260,2)="15",LEFT(TH!M1260,2)="15"),TK!$E$7=TH!F1260),"x","")</f>
        <v/>
      </c>
      <c r="AA1260" s="55" t="str">
        <f>IF(AND(B1260&lt;=NKC!$N$8,B1260&gt;=NKC!$M$8),"x","")</f>
        <v/>
      </c>
    </row>
    <row r="1261" spans="1:29" s="226" customFormat="1" ht="15.75" customHeight="1">
      <c r="A1261" s="219" t="str">
        <f>IF(B1261&lt;&gt;"",IF(AND(B1261&gt;=_TM1,B1261&lt;=_TM2,OR(TH!L1261="1111",TH!M1261="1111")),TH!D1261,""),"")</f>
        <v/>
      </c>
      <c r="B1261" s="36">
        <f t="shared" si="39"/>
        <v>8</v>
      </c>
      <c r="C1261" s="205">
        <f t="shared" si="53"/>
        <v>41137</v>
      </c>
      <c r="D1261" s="205"/>
      <c r="E1261" s="205">
        <v>41137</v>
      </c>
      <c r="F1261" s="206" t="s">
        <v>1454</v>
      </c>
      <c r="G1261" s="581" t="s">
        <v>1455</v>
      </c>
      <c r="H1261" s="207" t="s">
        <v>1145</v>
      </c>
      <c r="I1261" s="277">
        <v>3903</v>
      </c>
      <c r="J1261" s="277">
        <v>6580</v>
      </c>
      <c r="K1261" s="38">
        <f t="shared" si="55"/>
        <v>25681740</v>
      </c>
      <c r="L1261" s="208" t="s">
        <v>311</v>
      </c>
      <c r="M1261" s="208" t="s">
        <v>208</v>
      </c>
      <c r="N1261" s="55" t="str">
        <f>IF(AND('331-CT'!$E$7=TH!H1261,OR(L1261="331",M1261="331")),"x","")</f>
        <v/>
      </c>
      <c r="O1261" s="55" t="str">
        <f>IF(AND($B1261&gt;='111'!$N$11,$B1261&lt;='111'!$O$11,OR($L1261=$O$7,$M1261=$O$7)),"x","")</f>
        <v/>
      </c>
      <c r="P1261" s="55" t="str">
        <f>IF(AND($L1261=$O$7,$B1261&lt;'111'!$N$11),"x","")</f>
        <v/>
      </c>
      <c r="Q1261" s="55" t="str">
        <f>IF(AND($M1261=$O$7,$B1261&lt;'111'!$N$11),"x","")</f>
        <v/>
      </c>
      <c r="R1261" s="55" t="str">
        <f>IF(ISERROR(FIND('112'!$M$9,G1261,1)),"",IF((AND(FIND('112'!$M$9,G1261,1)&gt;=1,$B1261&gt;='112'!$N$8,$B1261&lt;='112'!$O$8,OR($L1261='112'!$I$6,$M1261='112'!$I$6))),"x",""))</f>
        <v/>
      </c>
      <c r="S1261" s="55" t="str">
        <f>IF(ISERROR(FIND('112'!$M$9,G1261,1)),"",IF((AND(LEFT(G1261,2)=LEFT('112'!$M$9,2),B1261&lt;'112'!$N$8,$L1261='112'!$I$6)),"x",""))</f>
        <v/>
      </c>
      <c r="T1261" s="55" t="str">
        <f>IF(ISERROR(FIND('112'!$M$9,G1261,1)),"",IF((AND(RIGHT(G1261,2)=RIGHT('112'!$M$9,2),B1261&lt;'112'!$N$8,$M1261='112'!$I$6)),"x",""))</f>
        <v/>
      </c>
      <c r="U1261" s="55" t="str">
        <f>IF(AND('3411-CT'!$F$9=H1261,OR(LEFT(L1261,3)=$U$7,LEFT(M1261,3)=$U$7)),"x","")</f>
        <v/>
      </c>
      <c r="V1261" s="55" t="str">
        <f>IF(OR(TH!L1261=TH!$V$7,M1261=TH!$V$7),"x","")</f>
        <v/>
      </c>
      <c r="W1261" s="55" t="str">
        <f>IF(AND(OR(L1261="131",M1261="131"),H1261='131-CT'!$E$7),"x","")</f>
        <v/>
      </c>
      <c r="X1261" s="55" t="str">
        <f>IF(AND(B1261&gt;='IN-NX'!$P$3,B1261&lt;='IN-NX'!$Q$3,'IN-NX'!$D$7=D1261,OR(LEFT(TH!L1261,2)="15",LEFT(TH!M1261,2)="15")),"x","")</f>
        <v/>
      </c>
      <c r="Y1261" s="55" t="str">
        <f>IF(AND(OR(LEFT(TH!L1261,2)="15",LEFT(TH!M1261,2)="15"),'152-CT'!$J$8=TH!F1261),"x","")</f>
        <v/>
      </c>
      <c r="Z1261" s="55" t="str">
        <f>IF(AND(OR(LEFT(TH!L1261,2)="15",LEFT(TH!M1261,2)="15"),TK!$E$7=TH!F1261),"x","")</f>
        <v/>
      </c>
      <c r="AA1261" s="55" t="str">
        <f>IF(AND(B1261&lt;=NKC!$N$8,B1261&gt;=NKC!$M$8),"x","")</f>
        <v/>
      </c>
    </row>
    <row r="1262" spans="1:29" s="226" customFormat="1" ht="15.75" customHeight="1">
      <c r="A1262" s="219" t="str">
        <f>IF(B1262&lt;&gt;"",IF(AND(B1262&gt;=_TM1,B1262&lt;=_TM2,OR(TH!L1262="1111",TH!M1262="1111")),TH!D1262,""),"")</f>
        <v/>
      </c>
      <c r="B1262" s="36">
        <f t="shared" si="39"/>
        <v>8</v>
      </c>
      <c r="C1262" s="205">
        <f t="shared" si="53"/>
        <v>41137</v>
      </c>
      <c r="D1262" s="205"/>
      <c r="E1262" s="205">
        <v>41137</v>
      </c>
      <c r="F1262" s="206" t="s">
        <v>1456</v>
      </c>
      <c r="G1262" s="581" t="s">
        <v>1455</v>
      </c>
      <c r="H1262" s="207" t="s">
        <v>1145</v>
      </c>
      <c r="I1262" s="277">
        <v>3010</v>
      </c>
      <c r="J1262" s="277">
        <v>7100</v>
      </c>
      <c r="K1262" s="38">
        <f t="shared" si="55"/>
        <v>21371000</v>
      </c>
      <c r="L1262" s="208" t="s">
        <v>311</v>
      </c>
      <c r="M1262" s="208" t="s">
        <v>208</v>
      </c>
      <c r="N1262" s="55" t="str">
        <f>IF(AND('331-CT'!$E$7=TH!H1262,OR(L1262="331",M1262="331")),"x","")</f>
        <v/>
      </c>
      <c r="O1262" s="55" t="str">
        <f>IF(AND($B1262&gt;='111'!$N$11,$B1262&lt;='111'!$O$11,OR($L1262=$O$7,$M1262=$O$7)),"x","")</f>
        <v/>
      </c>
      <c r="P1262" s="55" t="str">
        <f>IF(AND($L1262=$O$7,$B1262&lt;'111'!$N$11),"x","")</f>
        <v/>
      </c>
      <c r="Q1262" s="55" t="str">
        <f>IF(AND($M1262=$O$7,$B1262&lt;'111'!$N$11),"x","")</f>
        <v/>
      </c>
      <c r="R1262" s="55" t="str">
        <f>IF(ISERROR(FIND('112'!$M$9,G1262,1)),"",IF((AND(FIND('112'!$M$9,G1262,1)&gt;=1,$B1262&gt;='112'!$N$8,$B1262&lt;='112'!$O$8,OR($L1262='112'!$I$6,$M1262='112'!$I$6))),"x",""))</f>
        <v/>
      </c>
      <c r="S1262" s="55" t="str">
        <f>IF(ISERROR(FIND('112'!$M$9,G1262,1)),"",IF((AND(LEFT(G1262,2)=LEFT('112'!$M$9,2),B1262&lt;'112'!$N$8,$L1262='112'!$I$6)),"x",""))</f>
        <v/>
      </c>
      <c r="T1262" s="55" t="str">
        <f>IF(ISERROR(FIND('112'!$M$9,G1262,1)),"",IF((AND(RIGHT(G1262,2)=RIGHT('112'!$M$9,2),B1262&lt;'112'!$N$8,$M1262='112'!$I$6)),"x",""))</f>
        <v/>
      </c>
      <c r="U1262" s="55" t="str">
        <f>IF(AND('3411-CT'!$F$9=H1262,OR(LEFT(L1262,3)=$U$7,LEFT(M1262,3)=$U$7)),"x","")</f>
        <v/>
      </c>
      <c r="V1262" s="55" t="str">
        <f>IF(OR(TH!L1262=TH!$V$7,M1262=TH!$V$7),"x","")</f>
        <v/>
      </c>
      <c r="W1262" s="55" t="str">
        <f>IF(AND(OR(L1262="131",M1262="131"),H1262='131-CT'!$E$7),"x","")</f>
        <v/>
      </c>
      <c r="X1262" s="55" t="str">
        <f>IF(AND(B1262&gt;='IN-NX'!$P$3,B1262&lt;='IN-NX'!$Q$3,'IN-NX'!$D$7=D1262,OR(LEFT(TH!L1262,2)="15",LEFT(TH!M1262,2)="15")),"x","")</f>
        <v/>
      </c>
      <c r="Y1262" s="55" t="str">
        <f>IF(AND(OR(LEFT(TH!L1262,2)="15",LEFT(TH!M1262,2)="15"),'152-CT'!$J$8=TH!F1262),"x","")</f>
        <v/>
      </c>
      <c r="Z1262" s="55" t="str">
        <f>IF(AND(OR(LEFT(TH!L1262,2)="15",LEFT(TH!M1262,2)="15"),TK!$E$7=TH!F1262),"x","")</f>
        <v/>
      </c>
      <c r="AA1262" s="55" t="str">
        <f>IF(AND(B1262&lt;=NKC!$N$8,B1262&gt;=NKC!$M$8),"x","")</f>
        <v/>
      </c>
    </row>
    <row r="1263" spans="1:29" s="226" customFormat="1" ht="15.75" customHeight="1">
      <c r="A1263" s="219" t="str">
        <f>IF(B1263&lt;&gt;"",IF(AND(B1263&gt;=_TM1,B1263&lt;=_TM2,OR(TH!L1263="1111",TH!M1263="1111")),TH!D1263,""),"")</f>
        <v/>
      </c>
      <c r="B1263" s="36">
        <f t="shared" si="39"/>
        <v>8</v>
      </c>
      <c r="C1263" s="205">
        <f t="shared" si="53"/>
        <v>41137</v>
      </c>
      <c r="D1263" s="205"/>
      <c r="E1263" s="205">
        <v>41137</v>
      </c>
      <c r="F1263" s="206" t="s">
        <v>1457</v>
      </c>
      <c r="G1263" s="581" t="s">
        <v>1455</v>
      </c>
      <c r="H1263" s="207" t="s">
        <v>1145</v>
      </c>
      <c r="I1263" s="277">
        <v>310</v>
      </c>
      <c r="J1263" s="277">
        <v>7300</v>
      </c>
      <c r="K1263" s="38">
        <f t="shared" si="55"/>
        <v>2263000</v>
      </c>
      <c r="L1263" s="208" t="s">
        <v>311</v>
      </c>
      <c r="M1263" s="208" t="s">
        <v>208</v>
      </c>
      <c r="N1263" s="55" t="str">
        <f>IF(AND('331-CT'!$E$7=TH!H1263,OR(L1263="331",M1263="331")),"x","")</f>
        <v/>
      </c>
      <c r="O1263" s="55" t="str">
        <f>IF(AND($B1263&gt;='111'!$N$11,$B1263&lt;='111'!$O$11,OR($L1263=$O$7,$M1263=$O$7)),"x","")</f>
        <v/>
      </c>
      <c r="P1263" s="55" t="str">
        <f>IF(AND($L1263=$O$7,$B1263&lt;'111'!$N$11),"x","")</f>
        <v/>
      </c>
      <c r="Q1263" s="55" t="str">
        <f>IF(AND($M1263=$O$7,$B1263&lt;'111'!$N$11),"x","")</f>
        <v/>
      </c>
      <c r="R1263" s="55" t="str">
        <f>IF(ISERROR(FIND('112'!$M$9,G1263,1)),"",IF((AND(FIND('112'!$M$9,G1263,1)&gt;=1,$B1263&gt;='112'!$N$8,$B1263&lt;='112'!$O$8,OR($L1263='112'!$I$6,$M1263='112'!$I$6))),"x",""))</f>
        <v/>
      </c>
      <c r="S1263" s="55" t="str">
        <f>IF(ISERROR(FIND('112'!$M$9,G1263,1)),"",IF((AND(LEFT(G1263,2)=LEFT('112'!$M$9,2),B1263&lt;'112'!$N$8,$L1263='112'!$I$6)),"x",""))</f>
        <v/>
      </c>
      <c r="T1263" s="55" t="str">
        <f>IF(ISERROR(FIND('112'!$M$9,G1263,1)),"",IF((AND(RIGHT(G1263,2)=RIGHT('112'!$M$9,2),B1263&lt;'112'!$N$8,$M1263='112'!$I$6)),"x",""))</f>
        <v/>
      </c>
      <c r="U1263" s="55" t="str">
        <f>IF(AND('3411-CT'!$F$9=H1263,OR(LEFT(L1263,3)=$U$7,LEFT(M1263,3)=$U$7)),"x","")</f>
        <v/>
      </c>
      <c r="V1263" s="55" t="str">
        <f>IF(OR(TH!L1263=TH!$V$7,M1263=TH!$V$7),"x","")</f>
        <v/>
      </c>
      <c r="W1263" s="55" t="str">
        <f>IF(AND(OR(L1263="131",M1263="131"),H1263='131-CT'!$E$7),"x","")</f>
        <v/>
      </c>
      <c r="X1263" s="55" t="str">
        <f>IF(AND(B1263&gt;='IN-NX'!$P$3,B1263&lt;='IN-NX'!$Q$3,'IN-NX'!$D$7=D1263,OR(LEFT(TH!L1263,2)="15",LEFT(TH!M1263,2)="15")),"x","")</f>
        <v/>
      </c>
      <c r="Y1263" s="55" t="str">
        <f>IF(AND(OR(LEFT(TH!L1263,2)="15",LEFT(TH!M1263,2)="15"),'152-CT'!$J$8=TH!F1263),"x","")</f>
        <v/>
      </c>
      <c r="Z1263" s="55" t="str">
        <f>IF(AND(OR(LEFT(TH!L1263,2)="15",LEFT(TH!M1263,2)="15"),TK!$E$7=TH!F1263),"x","")</f>
        <v/>
      </c>
      <c r="AA1263" s="55" t="str">
        <f>IF(AND(B1263&lt;=NKC!$N$8,B1263&gt;=NKC!$M$8),"x","")</f>
        <v/>
      </c>
    </row>
    <row r="1264" spans="1:29" s="226" customFormat="1" ht="15.75" customHeight="1">
      <c r="A1264" s="219" t="str">
        <f>IF(B1264&lt;&gt;"",IF(AND(B1264&gt;=_TM1,B1264&lt;=_TM2,OR(TH!L1264="1111",TH!M1264="1111")),TH!D1264,""),"")</f>
        <v/>
      </c>
      <c r="B1264" s="36">
        <f t="shared" si="39"/>
        <v>8</v>
      </c>
      <c r="C1264" s="205">
        <f t="shared" si="53"/>
        <v>41137</v>
      </c>
      <c r="D1264" s="205"/>
      <c r="E1264" s="205">
        <v>41137</v>
      </c>
      <c r="F1264" s="206" t="s">
        <v>1458</v>
      </c>
      <c r="G1264" s="581" t="s">
        <v>1455</v>
      </c>
      <c r="H1264" s="207" t="s">
        <v>1145</v>
      </c>
      <c r="I1264" s="277">
        <v>252</v>
      </c>
      <c r="J1264" s="277">
        <v>6580</v>
      </c>
      <c r="K1264" s="38">
        <f t="shared" si="55"/>
        <v>1658160</v>
      </c>
      <c r="L1264" s="208" t="s">
        <v>311</v>
      </c>
      <c r="M1264" s="208" t="s">
        <v>208</v>
      </c>
      <c r="N1264" s="55" t="str">
        <f>IF(AND('331-CT'!$E$7=TH!H1264,OR(L1264="331",M1264="331")),"x","")</f>
        <v/>
      </c>
      <c r="O1264" s="55" t="str">
        <f>IF(AND($B1264&gt;='111'!$N$11,$B1264&lt;='111'!$O$11,OR($L1264=$O$7,$M1264=$O$7)),"x","")</f>
        <v/>
      </c>
      <c r="P1264" s="55" t="str">
        <f>IF(AND($L1264=$O$7,$B1264&lt;'111'!$N$11),"x","")</f>
        <v/>
      </c>
      <c r="Q1264" s="55" t="str">
        <f>IF(AND($M1264=$O$7,$B1264&lt;'111'!$N$11),"x","")</f>
        <v/>
      </c>
      <c r="R1264" s="55" t="str">
        <f>IF(ISERROR(FIND('112'!$M$9,G1264,1)),"",IF((AND(FIND('112'!$M$9,G1264,1)&gt;=1,$B1264&gt;='112'!$N$8,$B1264&lt;='112'!$O$8,OR($L1264='112'!$I$6,$M1264='112'!$I$6))),"x",""))</f>
        <v/>
      </c>
      <c r="S1264" s="55" t="str">
        <f>IF(ISERROR(FIND('112'!$M$9,G1264,1)),"",IF((AND(LEFT(G1264,2)=LEFT('112'!$M$9,2),B1264&lt;'112'!$N$8,$L1264='112'!$I$6)),"x",""))</f>
        <v/>
      </c>
      <c r="T1264" s="55" t="str">
        <f>IF(ISERROR(FIND('112'!$M$9,G1264,1)),"",IF((AND(RIGHT(G1264,2)=RIGHT('112'!$M$9,2),B1264&lt;'112'!$N$8,$M1264='112'!$I$6)),"x",""))</f>
        <v/>
      </c>
      <c r="U1264" s="55" t="str">
        <f>IF(AND('3411-CT'!$F$9=H1264,OR(LEFT(L1264,3)=$U$7,LEFT(M1264,3)=$U$7)),"x","")</f>
        <v/>
      </c>
      <c r="V1264" s="55" t="str">
        <f>IF(OR(TH!L1264=TH!$V$7,M1264=TH!$V$7),"x","")</f>
        <v/>
      </c>
      <c r="W1264" s="55" t="str">
        <f>IF(AND(OR(L1264="131",M1264="131"),H1264='131-CT'!$E$7),"x","")</f>
        <v/>
      </c>
      <c r="X1264" s="55" t="str">
        <f>IF(AND(B1264&gt;='IN-NX'!$P$3,B1264&lt;='IN-NX'!$Q$3,'IN-NX'!$D$7=D1264,OR(LEFT(TH!L1264,2)="15",LEFT(TH!M1264,2)="15")),"x","")</f>
        <v/>
      </c>
      <c r="Y1264" s="55" t="str">
        <f>IF(AND(OR(LEFT(TH!L1264,2)="15",LEFT(TH!M1264,2)="15"),'152-CT'!$J$8=TH!F1264),"x","")</f>
        <v/>
      </c>
      <c r="Z1264" s="55" t="str">
        <f>IF(AND(OR(LEFT(TH!L1264,2)="15",LEFT(TH!M1264,2)="15"),TK!$E$7=TH!F1264),"x","")</f>
        <v/>
      </c>
      <c r="AA1264" s="55" t="str">
        <f>IF(AND(B1264&lt;=NKC!$N$8,B1264&gt;=NKC!$M$8),"x","")</f>
        <v/>
      </c>
    </row>
    <row r="1265" spans="1:29" s="226" customFormat="1" ht="15.75" customHeight="1">
      <c r="A1265" s="219" t="str">
        <f>IF(B1265&lt;&gt;"",IF(AND(B1265&gt;=_TM1,B1265&lt;=_TM2,OR(TH!L1265="1111",TH!M1265="1111")),TH!D1265,""),"")</f>
        <v/>
      </c>
      <c r="B1265" s="36">
        <f t="shared" si="39"/>
        <v>8</v>
      </c>
      <c r="C1265" s="205">
        <f t="shared" si="53"/>
        <v>41137</v>
      </c>
      <c r="D1265" s="205"/>
      <c r="E1265" s="205">
        <v>41137</v>
      </c>
      <c r="F1265" s="206" t="s">
        <v>1185</v>
      </c>
      <c r="G1265" s="581" t="s">
        <v>1455</v>
      </c>
      <c r="H1265" s="207" t="s">
        <v>1145</v>
      </c>
      <c r="I1265" s="277"/>
      <c r="J1265" s="277"/>
      <c r="K1265" s="38">
        <v>5097390</v>
      </c>
      <c r="L1265" s="208" t="s">
        <v>311</v>
      </c>
      <c r="M1265" s="208" t="s">
        <v>549</v>
      </c>
      <c r="N1265" s="55" t="str">
        <f>IF(AND('331-CT'!$E$7=TH!H1265,OR(L1265="331",M1265="331")),"x","")</f>
        <v/>
      </c>
      <c r="O1265" s="55" t="str">
        <f>IF(AND($B1265&gt;='111'!$N$11,$B1265&lt;='111'!$O$11,OR($L1265=$O$7,$M1265=$O$7)),"x","")</f>
        <v/>
      </c>
      <c r="P1265" s="55" t="str">
        <f>IF(AND($L1265=$O$7,$B1265&lt;'111'!$N$11),"x","")</f>
        <v/>
      </c>
      <c r="Q1265" s="55" t="str">
        <f>IF(AND($M1265=$O$7,$B1265&lt;'111'!$N$11),"x","")</f>
        <v/>
      </c>
      <c r="R1265" s="55" t="str">
        <f>IF(ISERROR(FIND('112'!$M$9,G1265,1)),"",IF((AND(FIND('112'!$M$9,G1265,1)&gt;=1,$B1265&gt;='112'!$N$8,$B1265&lt;='112'!$O$8,OR($L1265='112'!$I$6,$M1265='112'!$I$6))),"x",""))</f>
        <v/>
      </c>
      <c r="S1265" s="55" t="str">
        <f>IF(ISERROR(FIND('112'!$M$9,G1265,1)),"",IF((AND(LEFT(G1265,2)=LEFT('112'!$M$9,2),B1265&lt;'112'!$N$8,$L1265='112'!$I$6)),"x",""))</f>
        <v/>
      </c>
      <c r="T1265" s="55" t="str">
        <f>IF(ISERROR(FIND('112'!$M$9,G1265,1)),"",IF((AND(RIGHT(G1265,2)=RIGHT('112'!$M$9,2),B1265&lt;'112'!$N$8,$M1265='112'!$I$6)),"x",""))</f>
        <v/>
      </c>
      <c r="U1265" s="55" t="str">
        <f>IF(AND('3411-CT'!$F$9=H1265,OR(LEFT(L1265,3)=$U$7,LEFT(M1265,3)=$U$7)),"x","")</f>
        <v/>
      </c>
      <c r="V1265" s="55" t="str">
        <f>IF(OR(TH!L1265=TH!$V$7,M1265=TH!$V$7),"x","")</f>
        <v/>
      </c>
      <c r="W1265" s="55" t="str">
        <f>IF(AND(OR(L1265="131",M1265="131"),H1265='131-CT'!$E$7),"x","")</f>
        <v/>
      </c>
      <c r="X1265" s="55" t="str">
        <f>IF(AND(B1265&gt;='IN-NX'!$P$3,B1265&lt;='IN-NX'!$Q$3,'IN-NX'!$D$7=D1265,OR(LEFT(TH!L1265,2)="15",LEFT(TH!M1265,2)="15")),"x","")</f>
        <v/>
      </c>
      <c r="Y1265" s="55" t="str">
        <f>IF(AND(OR(LEFT(TH!L1265,2)="15",LEFT(TH!M1265,2)="15"),'152-CT'!$J$8=TH!F1265),"x","")</f>
        <v/>
      </c>
      <c r="Z1265" s="55" t="str">
        <f>IF(AND(OR(LEFT(TH!L1265,2)="15",LEFT(TH!M1265,2)="15"),TK!$E$7=TH!F1265),"x","")</f>
        <v/>
      </c>
      <c r="AA1265" s="55" t="str">
        <f>IF(AND(B1265&lt;=NKC!$N$8,B1265&gt;=NKC!$M$8),"x","")</f>
        <v/>
      </c>
    </row>
    <row r="1266" spans="1:29" s="226" customFormat="1" ht="15.75" customHeight="1">
      <c r="A1266" s="219" t="str">
        <f>IF(B1266&lt;&gt;"",IF(AND(B1266&gt;=_TM1,B1266&lt;=_TM2,OR(TH!L1266="1111",TH!M1266="1111")),TH!D1266,""),"")</f>
        <v/>
      </c>
      <c r="B1266" s="36">
        <f t="shared" si="39"/>
        <v>8</v>
      </c>
      <c r="C1266" s="205">
        <f t="shared" si="53"/>
        <v>41150</v>
      </c>
      <c r="D1266" s="205"/>
      <c r="E1266" s="205">
        <v>41150</v>
      </c>
      <c r="F1266" s="206" t="s">
        <v>1459</v>
      </c>
      <c r="G1266" s="581" t="s">
        <v>1460</v>
      </c>
      <c r="H1266" s="7" t="s">
        <v>1131</v>
      </c>
      <c r="I1266" s="277">
        <v>3060</v>
      </c>
      <c r="J1266" s="277">
        <v>13630</v>
      </c>
      <c r="K1266" s="38">
        <f t="shared" si="55"/>
        <v>41707800</v>
      </c>
      <c r="L1266" s="208" t="s">
        <v>311</v>
      </c>
      <c r="M1266" s="208" t="s">
        <v>208</v>
      </c>
      <c r="N1266" s="55" t="str">
        <f>IF(AND('331-CT'!$E$7=TH!H1266,OR(L1266="331",M1266="331")),"x","")</f>
        <v/>
      </c>
      <c r="O1266" s="55" t="str">
        <f>IF(AND($B1266&gt;='111'!$N$11,$B1266&lt;='111'!$O$11,OR($L1266=$O$7,$M1266=$O$7)),"x","")</f>
        <v/>
      </c>
      <c r="P1266" s="55" t="str">
        <f>IF(AND($L1266=$O$7,$B1266&lt;'111'!$N$11),"x","")</f>
        <v/>
      </c>
      <c r="Q1266" s="55" t="str">
        <f>IF(AND($M1266=$O$7,$B1266&lt;'111'!$N$11),"x","")</f>
        <v/>
      </c>
      <c r="R1266" s="55" t="str">
        <f>IF(ISERROR(FIND('112'!$M$9,G1266,1)),"",IF((AND(FIND('112'!$M$9,G1266,1)&gt;=1,$B1266&gt;='112'!$N$8,$B1266&lt;='112'!$O$8,OR($L1266='112'!$I$6,$M1266='112'!$I$6))),"x",""))</f>
        <v/>
      </c>
      <c r="S1266" s="55" t="str">
        <f>IF(ISERROR(FIND('112'!$M$9,G1266,1)),"",IF((AND(LEFT(G1266,2)=LEFT('112'!$M$9,2),B1266&lt;'112'!$N$8,$L1266='112'!$I$6)),"x",""))</f>
        <v/>
      </c>
      <c r="T1266" s="55" t="str">
        <f>IF(ISERROR(FIND('112'!$M$9,G1266,1)),"",IF((AND(RIGHT(G1266,2)=RIGHT('112'!$M$9,2),B1266&lt;'112'!$N$8,$M1266='112'!$I$6)),"x",""))</f>
        <v/>
      </c>
      <c r="U1266" s="55" t="str">
        <f>IF(AND('3411-CT'!$F$9=H1266,OR(LEFT(L1266,3)=$U$7,LEFT(M1266,3)=$U$7)),"x","")</f>
        <v/>
      </c>
      <c r="V1266" s="55" t="str">
        <f>IF(OR(TH!L1266=TH!$V$7,M1266=TH!$V$7),"x","")</f>
        <v/>
      </c>
      <c r="W1266" s="55" t="str">
        <f>IF(AND(OR(L1266="131",M1266="131"),H1266='131-CT'!$E$7),"x","")</f>
        <v/>
      </c>
      <c r="X1266" s="55" t="str">
        <f>IF(AND(B1266&gt;='IN-NX'!$P$3,B1266&lt;='IN-NX'!$Q$3,'IN-NX'!$D$7=D1266,OR(LEFT(TH!L1266,2)="15",LEFT(TH!M1266,2)="15")),"x","")</f>
        <v/>
      </c>
      <c r="Y1266" s="55" t="str">
        <f>IF(AND(OR(LEFT(TH!L1266,2)="15",LEFT(TH!M1266,2)="15"),'152-CT'!$J$8=TH!F1266),"x","")</f>
        <v/>
      </c>
      <c r="Z1266" s="55" t="str">
        <f>IF(AND(OR(LEFT(TH!L1266,2)="15",LEFT(TH!M1266,2)="15"),TK!$E$7=TH!F1266),"x","")</f>
        <v/>
      </c>
      <c r="AA1266" s="55" t="str">
        <f>IF(AND(B1266&lt;=NKC!$N$8,B1266&gt;=NKC!$M$8),"x","")</f>
        <v/>
      </c>
    </row>
    <row r="1267" spans="1:29" s="226" customFormat="1" ht="15.75" customHeight="1">
      <c r="A1267" s="219" t="str">
        <f>IF(B1267&lt;&gt;"",IF(AND(B1267&gt;=_TM1,B1267&lt;=_TM2,OR(TH!L1267="1111",TH!M1267="1111")),TH!D1267,""),"")</f>
        <v/>
      </c>
      <c r="B1267" s="36">
        <f t="shared" si="39"/>
        <v>8</v>
      </c>
      <c r="C1267" s="205">
        <f t="shared" si="53"/>
        <v>41150</v>
      </c>
      <c r="D1267" s="205"/>
      <c r="E1267" s="205">
        <v>41150</v>
      </c>
      <c r="F1267" s="206" t="s">
        <v>1185</v>
      </c>
      <c r="G1267" s="581" t="s">
        <v>1460</v>
      </c>
      <c r="H1267" s="7" t="s">
        <v>1131</v>
      </c>
      <c r="I1267" s="277"/>
      <c r="J1267" s="277"/>
      <c r="K1267" s="38">
        <v>4170780</v>
      </c>
      <c r="L1267" s="208" t="s">
        <v>311</v>
      </c>
      <c r="M1267" s="208" t="s">
        <v>549</v>
      </c>
      <c r="N1267" s="55" t="str">
        <f>IF(AND('331-CT'!$E$7=TH!H1267,OR(L1267="331",M1267="331")),"x","")</f>
        <v/>
      </c>
      <c r="O1267" s="55" t="str">
        <f>IF(AND($B1267&gt;='111'!$N$11,$B1267&lt;='111'!$O$11,OR($L1267=$O$7,$M1267=$O$7)),"x","")</f>
        <v/>
      </c>
      <c r="P1267" s="55" t="str">
        <f>IF(AND($L1267=$O$7,$B1267&lt;'111'!$N$11),"x","")</f>
        <v/>
      </c>
      <c r="Q1267" s="55" t="str">
        <f>IF(AND($M1267=$O$7,$B1267&lt;'111'!$N$11),"x","")</f>
        <v/>
      </c>
      <c r="R1267" s="55" t="str">
        <f>IF(ISERROR(FIND('112'!$M$9,G1267,1)),"",IF((AND(FIND('112'!$M$9,G1267,1)&gt;=1,$B1267&gt;='112'!$N$8,$B1267&lt;='112'!$O$8,OR($L1267='112'!$I$6,$M1267='112'!$I$6))),"x",""))</f>
        <v/>
      </c>
      <c r="S1267" s="55" t="str">
        <f>IF(ISERROR(FIND('112'!$M$9,G1267,1)),"",IF((AND(LEFT(G1267,2)=LEFT('112'!$M$9,2),B1267&lt;'112'!$N$8,$L1267='112'!$I$6)),"x",""))</f>
        <v/>
      </c>
      <c r="T1267" s="55" t="str">
        <f>IF(ISERROR(FIND('112'!$M$9,G1267,1)),"",IF((AND(RIGHT(G1267,2)=RIGHT('112'!$M$9,2),B1267&lt;'112'!$N$8,$M1267='112'!$I$6)),"x",""))</f>
        <v/>
      </c>
      <c r="U1267" s="55" t="str">
        <f>IF(AND('3411-CT'!$F$9=H1267,OR(LEFT(L1267,3)=$U$7,LEFT(M1267,3)=$U$7)),"x","")</f>
        <v/>
      </c>
      <c r="V1267" s="55" t="str">
        <f>IF(OR(TH!L1267=TH!$V$7,M1267=TH!$V$7),"x","")</f>
        <v/>
      </c>
      <c r="W1267" s="55" t="str">
        <f>IF(AND(OR(L1267="131",M1267="131"),H1267='131-CT'!$E$7),"x","")</f>
        <v/>
      </c>
      <c r="X1267" s="55" t="str">
        <f>IF(AND(B1267&gt;='IN-NX'!$P$3,B1267&lt;='IN-NX'!$Q$3,'IN-NX'!$D$7=D1267,OR(LEFT(TH!L1267,2)="15",LEFT(TH!M1267,2)="15")),"x","")</f>
        <v/>
      </c>
      <c r="Y1267" s="55" t="str">
        <f>IF(AND(OR(LEFT(TH!L1267,2)="15",LEFT(TH!M1267,2)="15"),'152-CT'!$J$8=TH!F1267),"x","")</f>
        <v/>
      </c>
      <c r="Z1267" s="55" t="str">
        <f>IF(AND(OR(LEFT(TH!L1267,2)="15",LEFT(TH!M1267,2)="15"),TK!$E$7=TH!F1267),"x","")</f>
        <v/>
      </c>
      <c r="AA1267" s="55" t="str">
        <f>IF(AND(B1267&lt;=NKC!$N$8,B1267&gt;=NKC!$M$8),"x","")</f>
        <v/>
      </c>
    </row>
    <row r="1268" spans="1:29" s="226" customFormat="1" ht="15.75" customHeight="1">
      <c r="A1268" s="219" t="str">
        <f>IF(B1268&lt;&gt;"",IF(AND(B1268&gt;=_TM1,B1268&lt;=_TM2,OR(TH!L1268="1111",TH!M1268="1111")),TH!D1268,""),"")</f>
        <v/>
      </c>
      <c r="B1268" s="36">
        <f t="shared" si="39"/>
        <v>8</v>
      </c>
      <c r="C1268" s="205">
        <f t="shared" ref="C1268:C1331" si="56">E1268</f>
        <v>41150</v>
      </c>
      <c r="D1268" s="205"/>
      <c r="E1268" s="205">
        <v>41150</v>
      </c>
      <c r="F1268" s="206" t="s">
        <v>1292</v>
      </c>
      <c r="G1268" s="581" t="s">
        <v>1461</v>
      </c>
      <c r="H1268" s="207" t="s">
        <v>1294</v>
      </c>
      <c r="I1268" s="277">
        <v>303</v>
      </c>
      <c r="J1268" s="277">
        <v>16380</v>
      </c>
      <c r="K1268" s="38">
        <f t="shared" si="55"/>
        <v>4963140</v>
      </c>
      <c r="L1268" s="208" t="s">
        <v>49</v>
      </c>
      <c r="M1268" s="208" t="s">
        <v>208</v>
      </c>
      <c r="N1268" s="55" t="str">
        <f>IF(AND('331-CT'!$E$7=TH!H1268,OR(L1268="331",M1268="331")),"x","")</f>
        <v/>
      </c>
      <c r="O1268" s="55" t="str">
        <f>IF(AND($B1268&gt;='111'!$N$11,$B1268&lt;='111'!$O$11,OR($L1268=$O$7,$M1268=$O$7)),"x","")</f>
        <v/>
      </c>
      <c r="P1268" s="55" t="str">
        <f>IF(AND($L1268=$O$7,$B1268&lt;'111'!$N$11),"x","")</f>
        <v>x</v>
      </c>
      <c r="Q1268" s="55" t="str">
        <f>IF(AND($M1268=$O$7,$B1268&lt;'111'!$N$11),"x","")</f>
        <v/>
      </c>
      <c r="R1268" s="55" t="str">
        <f>IF(ISERROR(FIND('112'!$M$9,G1268,1)),"",IF((AND(FIND('112'!$M$9,G1268,1)&gt;=1,$B1268&gt;='112'!$N$8,$B1268&lt;='112'!$O$8,OR($L1268='112'!$I$6,$M1268='112'!$I$6))),"x",""))</f>
        <v/>
      </c>
      <c r="S1268" s="55" t="str">
        <f>IF(ISERROR(FIND('112'!$M$9,G1268,1)),"",IF((AND(LEFT(G1268,2)=LEFT('112'!$M$9,2),B1268&lt;'112'!$N$8,$L1268='112'!$I$6)),"x",""))</f>
        <v/>
      </c>
      <c r="T1268" s="55" t="str">
        <f>IF(ISERROR(FIND('112'!$M$9,G1268,1)),"",IF((AND(RIGHT(G1268,2)=RIGHT('112'!$M$9,2),B1268&lt;'112'!$N$8,$M1268='112'!$I$6)),"x",""))</f>
        <v/>
      </c>
      <c r="U1268" s="55" t="str">
        <f>IF(AND('3411-CT'!$F$9=H1268,OR(LEFT(L1268,3)=$U$7,LEFT(M1268,3)=$U$7)),"x","")</f>
        <v/>
      </c>
      <c r="V1268" s="55" t="str">
        <f>IF(OR(TH!L1268=TH!$V$7,M1268=TH!$V$7),"x","")</f>
        <v/>
      </c>
      <c r="W1268" s="55" t="str">
        <f>IF(AND(OR(L1268="131",M1268="131"),H1268='131-CT'!$E$7),"x","")</f>
        <v/>
      </c>
      <c r="X1268" s="55" t="str">
        <f>IF(AND(B1268&gt;='IN-NX'!$P$3,B1268&lt;='IN-NX'!$Q$3,'IN-NX'!$D$7=D1268,OR(LEFT(TH!L1268,2)="15",LEFT(TH!M1268,2)="15")),"x","")</f>
        <v/>
      </c>
      <c r="Y1268" s="55" t="str">
        <f>IF(AND(OR(LEFT(TH!L1268,2)="15",LEFT(TH!M1268,2)="15"),'152-CT'!$J$8=TH!F1268),"x","")</f>
        <v/>
      </c>
      <c r="Z1268" s="55" t="str">
        <f>IF(AND(OR(LEFT(TH!L1268,2)="15",LEFT(TH!M1268,2)="15"),TK!$E$7=TH!F1268),"x","")</f>
        <v/>
      </c>
      <c r="AA1268" s="55" t="str">
        <f>IF(AND(B1268&lt;=NKC!$N$8,B1268&gt;=NKC!$M$8),"x","")</f>
        <v/>
      </c>
    </row>
    <row r="1269" spans="1:29" ht="15.75" customHeight="1">
      <c r="A1269" s="219" t="str">
        <f>IF(B1269&lt;&gt;"",IF(AND(B1269&gt;=_TM1,B1269&lt;=_TM2,OR(TH!L1269="1111",TH!M1269="1111")),TH!D1269,""),"")</f>
        <v/>
      </c>
      <c r="B1269" s="36">
        <f t="shared" si="39"/>
        <v>8</v>
      </c>
      <c r="C1269" s="205">
        <f t="shared" si="56"/>
        <v>41150</v>
      </c>
      <c r="D1269" s="205"/>
      <c r="E1269" s="205">
        <v>41150</v>
      </c>
      <c r="F1269" s="206" t="s">
        <v>1462</v>
      </c>
      <c r="G1269" s="581" t="s">
        <v>1461</v>
      </c>
      <c r="H1269" s="207" t="s">
        <v>1294</v>
      </c>
      <c r="I1269" s="277">
        <v>303</v>
      </c>
      <c r="J1269" s="277">
        <v>15270</v>
      </c>
      <c r="K1269" s="38">
        <f t="shared" si="55"/>
        <v>4626810</v>
      </c>
      <c r="L1269" s="208" t="s">
        <v>49</v>
      </c>
      <c r="M1269" s="208" t="s">
        <v>208</v>
      </c>
      <c r="N1269" s="55" t="str">
        <f>IF(AND('331-CT'!$E$7=TH!H1269,OR(L1269="331",M1269="331")),"x","")</f>
        <v/>
      </c>
      <c r="O1269" s="55" t="str">
        <f>IF(AND($B1269&gt;='111'!$N$11,$B1269&lt;='111'!$O$11,OR($L1269=$O$7,$M1269=$O$7)),"x","")</f>
        <v/>
      </c>
      <c r="P1269" s="55" t="str">
        <f>IF(AND($L1269=$O$7,$B1269&lt;'111'!$N$11),"x","")</f>
        <v>x</v>
      </c>
      <c r="Q1269" s="55" t="str">
        <f>IF(AND($M1269=$O$7,$B1269&lt;'111'!$N$11),"x","")</f>
        <v/>
      </c>
      <c r="R1269" s="55" t="str">
        <f>IF(ISERROR(FIND('112'!$M$9,G1269,1)),"",IF((AND(FIND('112'!$M$9,G1269,1)&gt;=1,$B1269&gt;='112'!$N$8,$B1269&lt;='112'!$O$8,OR($L1269='112'!$I$6,$M1269='112'!$I$6))),"x",""))</f>
        <v/>
      </c>
      <c r="S1269" s="55" t="str">
        <f>IF(ISERROR(FIND('112'!$M$9,G1269,1)),"",IF((AND(LEFT(G1269,2)=LEFT('112'!$M$9,2),B1269&lt;'112'!$N$8,$L1269='112'!$I$6)),"x",""))</f>
        <v/>
      </c>
      <c r="T1269" s="55" t="str">
        <f>IF(ISERROR(FIND('112'!$M$9,G1269,1)),"",IF((AND(RIGHT(G1269,2)=RIGHT('112'!$M$9,2),B1269&lt;'112'!$N$8,$M1269='112'!$I$6)),"x",""))</f>
        <v/>
      </c>
      <c r="U1269" s="55" t="str">
        <f>IF(AND('3411-CT'!$F$9=H1269,OR(LEFT(L1269,3)=$U$7,LEFT(M1269,3)=$U$7)),"x","")</f>
        <v/>
      </c>
      <c r="V1269" s="55" t="str">
        <f>IF(OR(TH!L1269=TH!$V$7,M1269=TH!$V$7),"x","")</f>
        <v/>
      </c>
      <c r="W1269" s="55" t="str">
        <f>IF(AND(OR(L1269="131",M1269="131"),H1269='131-CT'!$E$7),"x","")</f>
        <v/>
      </c>
      <c r="X1269" s="55" t="str">
        <f>IF(AND(B1269&gt;='IN-NX'!$P$3,B1269&lt;='IN-NX'!$Q$3,'IN-NX'!$D$7=D1269,OR(LEFT(TH!L1269,2)="15",LEFT(TH!M1269,2)="15")),"x","")</f>
        <v/>
      </c>
      <c r="Y1269" s="55" t="str">
        <f>IF(AND(OR(LEFT(TH!L1269,2)="15",LEFT(TH!M1269,2)="15"),'152-CT'!$J$8=TH!F1269),"x","")</f>
        <v/>
      </c>
      <c r="Z1269" s="55" t="str">
        <f>IF(AND(OR(LEFT(TH!L1269,2)="15",LEFT(TH!M1269,2)="15"),TK!$E$7=TH!F1269),"x","")</f>
        <v/>
      </c>
      <c r="AA1269" s="55" t="str">
        <f>IF(AND(B1269&lt;=NKC!$N$8,B1269&gt;=NKC!$M$8),"x","")</f>
        <v/>
      </c>
    </row>
    <row r="1270" spans="1:29" ht="15.75" customHeight="1">
      <c r="A1270" s="219" t="str">
        <f>IF(B1270&lt;&gt;"",IF(AND(B1270&gt;=_TM1,B1270&lt;=_TM2,OR(TH!L1270="1111",TH!M1270="1111")),TH!D1270,""),"")</f>
        <v/>
      </c>
      <c r="B1270" s="36">
        <f t="shared" ref="B1270:B1639" si="57">IF(C1270&lt;&gt;"",MONTH(C1270),"")</f>
        <v>8</v>
      </c>
      <c r="C1270" s="205">
        <f t="shared" si="56"/>
        <v>41150</v>
      </c>
      <c r="D1270" s="205"/>
      <c r="E1270" s="205">
        <v>41150</v>
      </c>
      <c r="F1270" s="206" t="s">
        <v>1185</v>
      </c>
      <c r="G1270" s="581" t="s">
        <v>1461</v>
      </c>
      <c r="H1270" s="207" t="s">
        <v>1294</v>
      </c>
      <c r="I1270" s="277"/>
      <c r="J1270" s="277"/>
      <c r="K1270" s="38">
        <v>958995</v>
      </c>
      <c r="L1270" s="208" t="s">
        <v>49</v>
      </c>
      <c r="M1270" s="208" t="s">
        <v>549</v>
      </c>
      <c r="N1270" s="55" t="str">
        <f>IF(AND('331-CT'!$E$7=TH!H1270,OR(L1270="331",M1270="331")),"x","")</f>
        <v/>
      </c>
      <c r="O1270" s="55" t="str">
        <f>IF(AND($B1270&gt;='111'!$N$11,$B1270&lt;='111'!$O$11,OR($L1270=$O$7,$M1270=$O$7)),"x","")</f>
        <v/>
      </c>
      <c r="P1270" s="55" t="str">
        <f>IF(AND($L1270=$O$7,$B1270&lt;'111'!$N$11),"x","")</f>
        <v>x</v>
      </c>
      <c r="Q1270" s="55" t="str">
        <f>IF(AND($M1270=$O$7,$B1270&lt;'111'!$N$11),"x","")</f>
        <v/>
      </c>
      <c r="R1270" s="55" t="str">
        <f>IF(ISERROR(FIND('112'!$M$9,G1270,1)),"",IF((AND(FIND('112'!$M$9,G1270,1)&gt;=1,$B1270&gt;='112'!$N$8,$B1270&lt;='112'!$O$8,OR($L1270='112'!$I$6,$M1270='112'!$I$6))),"x",""))</f>
        <v/>
      </c>
      <c r="S1270" s="55" t="str">
        <f>IF(ISERROR(FIND('112'!$M$9,G1270,1)),"",IF((AND(LEFT(G1270,2)=LEFT('112'!$M$9,2),B1270&lt;'112'!$N$8,$L1270='112'!$I$6)),"x",""))</f>
        <v/>
      </c>
      <c r="T1270" s="55" t="str">
        <f>IF(ISERROR(FIND('112'!$M$9,G1270,1)),"",IF((AND(RIGHT(G1270,2)=RIGHT('112'!$M$9,2),B1270&lt;'112'!$N$8,$M1270='112'!$I$6)),"x",""))</f>
        <v/>
      </c>
      <c r="U1270" s="55" t="str">
        <f>IF(AND('3411-CT'!$F$9=H1270,OR(LEFT(L1270,3)=$U$7,LEFT(M1270,3)=$U$7)),"x","")</f>
        <v/>
      </c>
      <c r="V1270" s="55" t="str">
        <f>IF(OR(TH!L1270=TH!$V$7,M1270=TH!$V$7),"x","")</f>
        <v/>
      </c>
      <c r="W1270" s="55" t="str">
        <f>IF(AND(OR(L1270="131",M1270="131"),H1270='131-CT'!$E$7),"x","")</f>
        <v/>
      </c>
      <c r="X1270" s="55" t="str">
        <f>IF(AND(B1270&gt;='IN-NX'!$P$3,B1270&lt;='IN-NX'!$Q$3,'IN-NX'!$D$7=D1270,OR(LEFT(TH!L1270,2)="15",LEFT(TH!M1270,2)="15")),"x","")</f>
        <v/>
      </c>
      <c r="Y1270" s="55" t="str">
        <f>IF(AND(OR(LEFT(TH!L1270,2)="15",LEFT(TH!M1270,2)="15"),'152-CT'!$J$8=TH!F1270),"x","")</f>
        <v/>
      </c>
      <c r="Z1270" s="55" t="str">
        <f>IF(AND(OR(LEFT(TH!L1270,2)="15",LEFT(TH!M1270,2)="15"),TK!$E$7=TH!F1270),"x","")</f>
        <v/>
      </c>
      <c r="AA1270" s="55" t="str">
        <f>IF(AND(B1270&lt;=NKC!$N$8,B1270&gt;=NKC!$M$8),"x","")</f>
        <v/>
      </c>
      <c r="AC1270" s="226"/>
    </row>
    <row r="1271" spans="1:29" ht="15.75" customHeight="1">
      <c r="A1271" s="219" t="str">
        <f>IF(B1271&lt;&gt;"",IF(AND(B1271&gt;=_TM1,B1271&lt;=_TM2,OR(TH!L1271="1111",TH!M1271="1111")),TH!D1271,""),"")</f>
        <v/>
      </c>
      <c r="B1271" s="36">
        <f t="shared" si="57"/>
        <v>9</v>
      </c>
      <c r="C1271" s="205">
        <f t="shared" si="56"/>
        <v>41153</v>
      </c>
      <c r="D1271" s="205"/>
      <c r="E1271" s="205">
        <v>41153</v>
      </c>
      <c r="F1271" s="206" t="s">
        <v>1463</v>
      </c>
      <c r="G1271" s="581" t="s">
        <v>1464</v>
      </c>
      <c r="H1271" s="207" t="s">
        <v>1146</v>
      </c>
      <c r="I1271" s="277">
        <v>1060</v>
      </c>
      <c r="J1271" s="277">
        <v>8300</v>
      </c>
      <c r="K1271" s="38">
        <f t="shared" si="55"/>
        <v>8798000</v>
      </c>
      <c r="L1271" s="208" t="s">
        <v>311</v>
      </c>
      <c r="M1271" s="208" t="s">
        <v>208</v>
      </c>
      <c r="N1271" s="55" t="str">
        <f>IF(AND('331-CT'!$E$7=TH!H1271,OR(L1271="331",M1271="331")),"x","")</f>
        <v/>
      </c>
      <c r="O1271" s="55" t="str">
        <f>IF(AND($B1271&gt;='111'!$N$11,$B1271&lt;='111'!$O$11,OR($L1271=$O$7,$M1271=$O$7)),"x","")</f>
        <v/>
      </c>
      <c r="P1271" s="55" t="str">
        <f>IF(AND($L1271=$O$7,$B1271&lt;'111'!$N$11),"x","")</f>
        <v/>
      </c>
      <c r="Q1271" s="55" t="str">
        <f>IF(AND($M1271=$O$7,$B1271&lt;'111'!$N$11),"x","")</f>
        <v/>
      </c>
      <c r="R1271" s="55" t="str">
        <f>IF(ISERROR(FIND('112'!$M$9,G1271,1)),"",IF((AND(FIND('112'!$M$9,G1271,1)&gt;=1,$B1271&gt;='112'!$N$8,$B1271&lt;='112'!$O$8,OR($L1271='112'!$I$6,$M1271='112'!$I$6))),"x",""))</f>
        <v/>
      </c>
      <c r="S1271" s="55" t="str">
        <f>IF(ISERROR(FIND('112'!$M$9,G1271,1)),"",IF((AND(LEFT(G1271,2)=LEFT('112'!$M$9,2),B1271&lt;'112'!$N$8,$L1271='112'!$I$6)),"x",""))</f>
        <v/>
      </c>
      <c r="T1271" s="55" t="str">
        <f>IF(ISERROR(FIND('112'!$M$9,G1271,1)),"",IF((AND(RIGHT(G1271,2)=RIGHT('112'!$M$9,2),B1271&lt;'112'!$N$8,$M1271='112'!$I$6)),"x",""))</f>
        <v/>
      </c>
      <c r="U1271" s="55" t="str">
        <f>IF(AND('3411-CT'!$F$9=H1271,OR(LEFT(L1271,3)=$U$7,LEFT(M1271,3)=$U$7)),"x","")</f>
        <v/>
      </c>
      <c r="V1271" s="55" t="str">
        <f>IF(OR(TH!L1271=TH!$V$7,M1271=TH!$V$7),"x","")</f>
        <v/>
      </c>
      <c r="W1271" s="55" t="str">
        <f>IF(AND(OR(L1271="131",M1271="131"),H1271='131-CT'!$E$7),"x","")</f>
        <v/>
      </c>
      <c r="X1271" s="55" t="str">
        <f>IF(AND(B1271&gt;='IN-NX'!$P$3,B1271&lt;='IN-NX'!$Q$3,'IN-NX'!$D$7=D1271,OR(LEFT(TH!L1271,2)="15",LEFT(TH!M1271,2)="15")),"x","")</f>
        <v/>
      </c>
      <c r="Y1271" s="55" t="str">
        <f>IF(AND(OR(LEFT(TH!L1271,2)="15",LEFT(TH!M1271,2)="15"),'152-CT'!$J$8=TH!F1271),"x","")</f>
        <v/>
      </c>
      <c r="Z1271" s="55" t="str">
        <f>IF(AND(OR(LEFT(TH!L1271,2)="15",LEFT(TH!M1271,2)="15"),TK!$E$7=TH!F1271),"x","")</f>
        <v/>
      </c>
      <c r="AA1271" s="55" t="str">
        <f>IF(AND(B1271&lt;=NKC!$N$8,B1271&gt;=NKC!$M$8),"x","")</f>
        <v/>
      </c>
    </row>
    <row r="1272" spans="1:29" ht="15.75" customHeight="1">
      <c r="A1272" s="219" t="str">
        <f>IF(B1272&lt;&gt;"",IF(AND(B1272&gt;=_TM1,B1272&lt;=_TM2,OR(TH!L1272="1111",TH!M1272="1111")),TH!D1272,""),"")</f>
        <v/>
      </c>
      <c r="B1272" s="36">
        <f t="shared" si="57"/>
        <v>9</v>
      </c>
      <c r="C1272" s="205">
        <f t="shared" si="56"/>
        <v>41153</v>
      </c>
      <c r="D1272" s="205"/>
      <c r="E1272" s="205">
        <v>41153</v>
      </c>
      <c r="F1272" s="206" t="s">
        <v>1185</v>
      </c>
      <c r="G1272" s="581" t="s">
        <v>1464</v>
      </c>
      <c r="H1272" s="207" t="s">
        <v>1146</v>
      </c>
      <c r="I1272" s="277"/>
      <c r="J1272" s="277"/>
      <c r="K1272" s="38">
        <v>879800</v>
      </c>
      <c r="L1272" s="208" t="s">
        <v>311</v>
      </c>
      <c r="M1272" s="208" t="s">
        <v>549</v>
      </c>
      <c r="N1272" s="55" t="str">
        <f>IF(AND('331-CT'!$E$7=TH!H1272,OR(L1272="331",M1272="331")),"x","")</f>
        <v/>
      </c>
      <c r="O1272" s="55" t="str">
        <f>IF(AND($B1272&gt;='111'!$N$11,$B1272&lt;='111'!$O$11,OR($L1272=$O$7,$M1272=$O$7)),"x","")</f>
        <v/>
      </c>
      <c r="P1272" s="55" t="str">
        <f>IF(AND($L1272=$O$7,$B1272&lt;'111'!$N$11),"x","")</f>
        <v/>
      </c>
      <c r="Q1272" s="55" t="str">
        <f>IF(AND($M1272=$O$7,$B1272&lt;'111'!$N$11),"x","")</f>
        <v/>
      </c>
      <c r="R1272" s="55" t="str">
        <f>IF(ISERROR(FIND('112'!$M$9,G1272,1)),"",IF((AND(FIND('112'!$M$9,G1272,1)&gt;=1,$B1272&gt;='112'!$N$8,$B1272&lt;='112'!$O$8,OR($L1272='112'!$I$6,$M1272='112'!$I$6))),"x",""))</f>
        <v/>
      </c>
      <c r="S1272" s="55" t="str">
        <f>IF(ISERROR(FIND('112'!$M$9,G1272,1)),"",IF((AND(LEFT(G1272,2)=LEFT('112'!$M$9,2),B1272&lt;'112'!$N$8,$L1272='112'!$I$6)),"x",""))</f>
        <v/>
      </c>
      <c r="T1272" s="55" t="str">
        <f>IF(ISERROR(FIND('112'!$M$9,G1272,1)),"",IF((AND(RIGHT(G1272,2)=RIGHT('112'!$M$9,2),B1272&lt;'112'!$N$8,$M1272='112'!$I$6)),"x",""))</f>
        <v/>
      </c>
      <c r="U1272" s="55" t="str">
        <f>IF(AND('3411-CT'!$F$9=H1272,OR(LEFT(L1272,3)=$U$7,LEFT(M1272,3)=$U$7)),"x","")</f>
        <v/>
      </c>
      <c r="V1272" s="55" t="str">
        <f>IF(OR(TH!L1272=TH!$V$7,M1272=TH!$V$7),"x","")</f>
        <v/>
      </c>
      <c r="W1272" s="55" t="str">
        <f>IF(AND(OR(L1272="131",M1272="131"),H1272='131-CT'!$E$7),"x","")</f>
        <v/>
      </c>
      <c r="X1272" s="55" t="str">
        <f>IF(AND(B1272&gt;='IN-NX'!$P$3,B1272&lt;='IN-NX'!$Q$3,'IN-NX'!$D$7=D1272,OR(LEFT(TH!L1272,2)="15",LEFT(TH!M1272,2)="15")),"x","")</f>
        <v/>
      </c>
      <c r="Y1272" s="55" t="str">
        <f>IF(AND(OR(LEFT(TH!L1272,2)="15",LEFT(TH!M1272,2)="15"),'152-CT'!$J$8=TH!F1272),"x","")</f>
        <v/>
      </c>
      <c r="Z1272" s="55" t="str">
        <f>IF(AND(OR(LEFT(TH!L1272,2)="15",LEFT(TH!M1272,2)="15"),TK!$E$7=TH!F1272),"x","")</f>
        <v/>
      </c>
      <c r="AA1272" s="55" t="str">
        <f>IF(AND(B1272&lt;=NKC!$N$8,B1272&gt;=NKC!$M$8),"x","")</f>
        <v/>
      </c>
      <c r="AC1272" s="226"/>
    </row>
    <row r="1273" spans="1:29" ht="15.75" customHeight="1">
      <c r="A1273" s="219" t="str">
        <f>IF(B1273&lt;&gt;"",IF(AND(B1273&gt;=_TM1,B1273&lt;=_TM2,OR(TH!L1273="1111",TH!M1273="1111")),TH!D1273,""),"")</f>
        <v/>
      </c>
      <c r="B1273" s="36">
        <f t="shared" si="57"/>
        <v>9</v>
      </c>
      <c r="C1273" s="205">
        <f t="shared" si="56"/>
        <v>41158</v>
      </c>
      <c r="D1273" s="205"/>
      <c r="E1273" s="205">
        <v>41158</v>
      </c>
      <c r="F1273" s="206" t="s">
        <v>1254</v>
      </c>
      <c r="G1273" s="581" t="s">
        <v>1465</v>
      </c>
      <c r="H1273" s="207" t="s">
        <v>1256</v>
      </c>
      <c r="I1273" s="277">
        <v>520</v>
      </c>
      <c r="J1273" s="277">
        <v>8000</v>
      </c>
      <c r="K1273" s="38">
        <f t="shared" si="55"/>
        <v>4160000</v>
      </c>
      <c r="L1273" s="208" t="s">
        <v>49</v>
      </c>
      <c r="M1273" s="208" t="s">
        <v>208</v>
      </c>
      <c r="N1273" s="55" t="str">
        <f>IF(AND('331-CT'!$E$7=TH!H1273,OR(L1273="331",M1273="331")),"x","")</f>
        <v/>
      </c>
      <c r="O1273" s="55" t="str">
        <f>IF(AND($B1273&gt;='111'!$N$11,$B1273&lt;='111'!$O$11,OR($L1273=$O$7,$M1273=$O$7)),"x","")</f>
        <v/>
      </c>
      <c r="P1273" s="55" t="str">
        <f>IF(AND($L1273=$O$7,$B1273&lt;'111'!$N$11),"x","")</f>
        <v>x</v>
      </c>
      <c r="Q1273" s="55" t="str">
        <f>IF(AND($M1273=$O$7,$B1273&lt;'111'!$N$11),"x","")</f>
        <v/>
      </c>
      <c r="R1273" s="55" t="str">
        <f>IF(ISERROR(FIND('112'!$M$9,G1273,1)),"",IF((AND(FIND('112'!$M$9,G1273,1)&gt;=1,$B1273&gt;='112'!$N$8,$B1273&lt;='112'!$O$8,OR($L1273='112'!$I$6,$M1273='112'!$I$6))),"x",""))</f>
        <v/>
      </c>
      <c r="S1273" s="55" t="str">
        <f>IF(ISERROR(FIND('112'!$M$9,G1273,1)),"",IF((AND(LEFT(G1273,2)=LEFT('112'!$M$9,2),B1273&lt;'112'!$N$8,$L1273='112'!$I$6)),"x",""))</f>
        <v/>
      </c>
      <c r="T1273" s="55" t="str">
        <f>IF(ISERROR(FIND('112'!$M$9,G1273,1)),"",IF((AND(RIGHT(G1273,2)=RIGHT('112'!$M$9,2),B1273&lt;'112'!$N$8,$M1273='112'!$I$6)),"x",""))</f>
        <v/>
      </c>
      <c r="U1273" s="55" t="str">
        <f>IF(AND('3411-CT'!$F$9=H1273,OR(LEFT(L1273,3)=$U$7,LEFT(M1273,3)=$U$7)),"x","")</f>
        <v/>
      </c>
      <c r="V1273" s="55" t="str">
        <f>IF(OR(TH!L1273=TH!$V$7,M1273=TH!$V$7),"x","")</f>
        <v/>
      </c>
      <c r="W1273" s="55" t="str">
        <f>IF(AND(OR(L1273="131",M1273="131"),H1273='131-CT'!$E$7),"x","")</f>
        <v/>
      </c>
      <c r="X1273" s="55" t="str">
        <f>IF(AND(B1273&gt;='IN-NX'!$P$3,B1273&lt;='IN-NX'!$Q$3,'IN-NX'!$D$7=D1273,OR(LEFT(TH!L1273,2)="15",LEFT(TH!M1273,2)="15")),"x","")</f>
        <v/>
      </c>
      <c r="Y1273" s="55" t="str">
        <f>IF(AND(OR(LEFT(TH!L1273,2)="15",LEFT(TH!M1273,2)="15"),'152-CT'!$J$8=TH!F1273),"x","")</f>
        <v/>
      </c>
      <c r="Z1273" s="55" t="str">
        <f>IF(AND(OR(LEFT(TH!L1273,2)="15",LEFT(TH!M1273,2)="15"),TK!$E$7=TH!F1273),"x","")</f>
        <v/>
      </c>
      <c r="AA1273" s="55" t="str">
        <f>IF(AND(B1273&lt;=NKC!$N$8,B1273&gt;=NKC!$M$8),"x","")</f>
        <v/>
      </c>
    </row>
    <row r="1274" spans="1:29" ht="15.75" customHeight="1">
      <c r="A1274" s="219" t="str">
        <f>IF(B1274&lt;&gt;"",IF(AND(B1274&gt;=_TM1,B1274&lt;=_TM2,OR(TH!L1274="1111",TH!M1274="1111")),TH!D1274,""),"")</f>
        <v/>
      </c>
      <c r="B1274" s="36">
        <f t="shared" si="57"/>
        <v>9</v>
      </c>
      <c r="C1274" s="205">
        <f t="shared" si="56"/>
        <v>41158</v>
      </c>
      <c r="D1274" s="205"/>
      <c r="E1274" s="205">
        <v>41158</v>
      </c>
      <c r="F1274" s="206" t="s">
        <v>1466</v>
      </c>
      <c r="G1274" s="581" t="s">
        <v>1465</v>
      </c>
      <c r="H1274" s="207" t="s">
        <v>1256</v>
      </c>
      <c r="I1274" s="277">
        <v>500</v>
      </c>
      <c r="J1274" s="277">
        <v>8000</v>
      </c>
      <c r="K1274" s="38">
        <f t="shared" si="55"/>
        <v>4000000</v>
      </c>
      <c r="L1274" s="208" t="s">
        <v>49</v>
      </c>
      <c r="M1274" s="208" t="s">
        <v>208</v>
      </c>
      <c r="N1274" s="55" t="str">
        <f>IF(AND('331-CT'!$E$7=TH!H1274,OR(L1274="331",M1274="331")),"x","")</f>
        <v/>
      </c>
      <c r="O1274" s="55" t="str">
        <f>IF(AND($B1274&gt;='111'!$N$11,$B1274&lt;='111'!$O$11,OR($L1274=$O$7,$M1274=$O$7)),"x","")</f>
        <v/>
      </c>
      <c r="P1274" s="55" t="str">
        <f>IF(AND($L1274=$O$7,$B1274&lt;'111'!$N$11),"x","")</f>
        <v>x</v>
      </c>
      <c r="Q1274" s="55" t="str">
        <f>IF(AND($M1274=$O$7,$B1274&lt;'111'!$N$11),"x","")</f>
        <v/>
      </c>
      <c r="R1274" s="55" t="str">
        <f>IF(ISERROR(FIND('112'!$M$9,G1274,1)),"",IF((AND(FIND('112'!$M$9,G1274,1)&gt;=1,$B1274&gt;='112'!$N$8,$B1274&lt;='112'!$O$8,OR($L1274='112'!$I$6,$M1274='112'!$I$6))),"x",""))</f>
        <v/>
      </c>
      <c r="S1274" s="55" t="str">
        <f>IF(ISERROR(FIND('112'!$M$9,G1274,1)),"",IF((AND(LEFT(G1274,2)=LEFT('112'!$M$9,2),B1274&lt;'112'!$N$8,$L1274='112'!$I$6)),"x",""))</f>
        <v/>
      </c>
      <c r="T1274" s="55" t="str">
        <f>IF(ISERROR(FIND('112'!$M$9,G1274,1)),"",IF((AND(RIGHT(G1274,2)=RIGHT('112'!$M$9,2),B1274&lt;'112'!$N$8,$M1274='112'!$I$6)),"x",""))</f>
        <v/>
      </c>
      <c r="U1274" s="55" t="str">
        <f>IF(AND('3411-CT'!$F$9=H1274,OR(LEFT(L1274,3)=$U$7,LEFT(M1274,3)=$U$7)),"x","")</f>
        <v/>
      </c>
      <c r="V1274" s="55" t="str">
        <f>IF(OR(TH!L1274=TH!$V$7,M1274=TH!$V$7),"x","")</f>
        <v/>
      </c>
      <c r="W1274" s="55" t="str">
        <f>IF(AND(OR(L1274="131",M1274="131"),H1274='131-CT'!$E$7),"x","")</f>
        <v/>
      </c>
      <c r="X1274" s="55" t="str">
        <f>IF(AND(B1274&gt;='IN-NX'!$P$3,B1274&lt;='IN-NX'!$Q$3,'IN-NX'!$D$7=D1274,OR(LEFT(TH!L1274,2)="15",LEFT(TH!M1274,2)="15")),"x","")</f>
        <v/>
      </c>
      <c r="Y1274" s="55" t="str">
        <f>IF(AND(OR(LEFT(TH!L1274,2)="15",LEFT(TH!M1274,2)="15"),'152-CT'!$J$8=TH!F1274),"x","")</f>
        <v/>
      </c>
      <c r="Z1274" s="55" t="str">
        <f>IF(AND(OR(LEFT(TH!L1274,2)="15",LEFT(TH!M1274,2)="15"),TK!$E$7=TH!F1274),"x","")</f>
        <v/>
      </c>
      <c r="AA1274" s="55" t="str">
        <f>IF(AND(B1274&lt;=NKC!$N$8,B1274&gt;=NKC!$M$8),"x","")</f>
        <v/>
      </c>
    </row>
    <row r="1275" spans="1:29" ht="15.75" customHeight="1">
      <c r="A1275" s="219" t="str">
        <f>IF(B1275&lt;&gt;"",IF(AND(B1275&gt;=_TM1,B1275&lt;=_TM2,OR(TH!L1275="1111",TH!M1275="1111")),TH!D1275,""),"")</f>
        <v/>
      </c>
      <c r="B1275" s="36">
        <f t="shared" si="57"/>
        <v>9</v>
      </c>
      <c r="C1275" s="205">
        <f t="shared" si="56"/>
        <v>41158</v>
      </c>
      <c r="D1275" s="205"/>
      <c r="E1275" s="205">
        <v>41158</v>
      </c>
      <c r="F1275" s="206" t="s">
        <v>1185</v>
      </c>
      <c r="G1275" s="581" t="s">
        <v>1465</v>
      </c>
      <c r="H1275" s="207" t="s">
        <v>1256</v>
      </c>
      <c r="I1275" s="277"/>
      <c r="J1275" s="277"/>
      <c r="K1275" s="38">
        <v>816000</v>
      </c>
      <c r="L1275" s="208" t="s">
        <v>49</v>
      </c>
      <c r="M1275" s="208" t="s">
        <v>549</v>
      </c>
      <c r="N1275" s="55" t="str">
        <f>IF(AND('331-CT'!$E$7=TH!H1275,OR(L1275="331",M1275="331")),"x","")</f>
        <v/>
      </c>
      <c r="O1275" s="55" t="str">
        <f>IF(AND($B1275&gt;='111'!$N$11,$B1275&lt;='111'!$O$11,OR($L1275=$O$7,$M1275=$O$7)),"x","")</f>
        <v/>
      </c>
      <c r="P1275" s="55" t="str">
        <f>IF(AND($L1275=$O$7,$B1275&lt;'111'!$N$11),"x","")</f>
        <v>x</v>
      </c>
      <c r="Q1275" s="55" t="str">
        <f>IF(AND($M1275=$O$7,$B1275&lt;'111'!$N$11),"x","")</f>
        <v/>
      </c>
      <c r="R1275" s="55" t="str">
        <f>IF(ISERROR(FIND('112'!$M$9,G1275,1)),"",IF((AND(FIND('112'!$M$9,G1275,1)&gt;=1,$B1275&gt;='112'!$N$8,$B1275&lt;='112'!$O$8,OR($L1275='112'!$I$6,$M1275='112'!$I$6))),"x",""))</f>
        <v/>
      </c>
      <c r="S1275" s="55" t="str">
        <f>IF(ISERROR(FIND('112'!$M$9,G1275,1)),"",IF((AND(LEFT(G1275,2)=LEFT('112'!$M$9,2),B1275&lt;'112'!$N$8,$L1275='112'!$I$6)),"x",""))</f>
        <v/>
      </c>
      <c r="T1275" s="55" t="str">
        <f>IF(ISERROR(FIND('112'!$M$9,G1275,1)),"",IF((AND(RIGHT(G1275,2)=RIGHT('112'!$M$9,2),B1275&lt;'112'!$N$8,$M1275='112'!$I$6)),"x",""))</f>
        <v/>
      </c>
      <c r="U1275" s="55" t="str">
        <f>IF(AND('3411-CT'!$F$9=H1275,OR(LEFT(L1275,3)=$U$7,LEFT(M1275,3)=$U$7)),"x","")</f>
        <v/>
      </c>
      <c r="V1275" s="55" t="str">
        <f>IF(OR(TH!L1275=TH!$V$7,M1275=TH!$V$7),"x","")</f>
        <v/>
      </c>
      <c r="W1275" s="55" t="str">
        <f>IF(AND(OR(L1275="131",M1275="131"),H1275='131-CT'!$E$7),"x","")</f>
        <v/>
      </c>
      <c r="X1275" s="55" t="str">
        <f>IF(AND(B1275&gt;='IN-NX'!$P$3,B1275&lt;='IN-NX'!$Q$3,'IN-NX'!$D$7=D1275,OR(LEFT(TH!L1275,2)="15",LEFT(TH!M1275,2)="15")),"x","")</f>
        <v/>
      </c>
      <c r="Y1275" s="55" t="str">
        <f>IF(AND(OR(LEFT(TH!L1275,2)="15",LEFT(TH!M1275,2)="15"),'152-CT'!$J$8=TH!F1275),"x","")</f>
        <v/>
      </c>
      <c r="Z1275" s="55" t="str">
        <f>IF(AND(OR(LEFT(TH!L1275,2)="15",LEFT(TH!M1275,2)="15"),TK!$E$7=TH!F1275),"x","")</f>
        <v/>
      </c>
      <c r="AA1275" s="55" t="str">
        <f>IF(AND(B1275&lt;=NKC!$N$8,B1275&gt;=NKC!$M$8),"x","")</f>
        <v/>
      </c>
      <c r="AC1275" s="226"/>
    </row>
    <row r="1276" spans="1:29" ht="15.75" customHeight="1">
      <c r="A1276" s="219" t="str">
        <f>IF(B1276&lt;&gt;"",IF(AND(B1276&gt;=_TM1,B1276&lt;=_TM2,OR(TH!L1276="1111",TH!M1276="1111")),TH!D1276,""),"")</f>
        <v/>
      </c>
      <c r="B1276" s="36">
        <f t="shared" si="57"/>
        <v>9</v>
      </c>
      <c r="C1276" s="205">
        <f t="shared" si="56"/>
        <v>41162</v>
      </c>
      <c r="D1276" s="205"/>
      <c r="E1276" s="205">
        <v>41162</v>
      </c>
      <c r="F1276" s="206" t="s">
        <v>1416</v>
      </c>
      <c r="G1276" s="581" t="s">
        <v>1467</v>
      </c>
      <c r="H1276" s="45" t="s">
        <v>1136</v>
      </c>
      <c r="I1276" s="277">
        <v>108</v>
      </c>
      <c r="J1276" s="277">
        <v>37800</v>
      </c>
      <c r="K1276" s="38">
        <f t="shared" si="55"/>
        <v>4082400</v>
      </c>
      <c r="L1276" s="208" t="s">
        <v>311</v>
      </c>
      <c r="M1276" s="208" t="s">
        <v>208</v>
      </c>
      <c r="N1276" s="55" t="str">
        <f>IF(AND('331-CT'!$E$7=TH!H1276,OR(L1276="331",M1276="331")),"x","")</f>
        <v/>
      </c>
      <c r="O1276" s="55" t="str">
        <f>IF(AND($B1276&gt;='111'!$N$11,$B1276&lt;='111'!$O$11,OR($L1276=$O$7,$M1276=$O$7)),"x","")</f>
        <v/>
      </c>
      <c r="P1276" s="55" t="str">
        <f>IF(AND($L1276=$O$7,$B1276&lt;'111'!$N$11),"x","")</f>
        <v/>
      </c>
      <c r="Q1276" s="55" t="str">
        <f>IF(AND($M1276=$O$7,$B1276&lt;'111'!$N$11),"x","")</f>
        <v/>
      </c>
      <c r="R1276" s="55" t="str">
        <f>IF(ISERROR(FIND('112'!$M$9,G1276,1)),"",IF((AND(FIND('112'!$M$9,G1276,1)&gt;=1,$B1276&gt;='112'!$N$8,$B1276&lt;='112'!$O$8,OR($L1276='112'!$I$6,$M1276='112'!$I$6))),"x",""))</f>
        <v/>
      </c>
      <c r="S1276" s="55" t="str">
        <f>IF(ISERROR(FIND('112'!$M$9,G1276,1)),"",IF((AND(LEFT(G1276,2)=LEFT('112'!$M$9,2),B1276&lt;'112'!$N$8,$L1276='112'!$I$6)),"x",""))</f>
        <v/>
      </c>
      <c r="T1276" s="55" t="str">
        <f>IF(ISERROR(FIND('112'!$M$9,G1276,1)),"",IF((AND(RIGHT(G1276,2)=RIGHT('112'!$M$9,2),B1276&lt;'112'!$N$8,$M1276='112'!$I$6)),"x",""))</f>
        <v/>
      </c>
      <c r="U1276" s="55" t="str">
        <f>IF(AND('3411-CT'!$F$9=H1276,OR(LEFT(L1276,3)=$U$7,LEFT(M1276,3)=$U$7)),"x","")</f>
        <v/>
      </c>
      <c r="V1276" s="55" t="str">
        <f>IF(OR(TH!L1276=TH!$V$7,M1276=TH!$V$7),"x","")</f>
        <v/>
      </c>
      <c r="W1276" s="55" t="str">
        <f>IF(AND(OR(L1276="131",M1276="131"),H1276='131-CT'!$E$7),"x","")</f>
        <v/>
      </c>
      <c r="X1276" s="55" t="str">
        <f>IF(AND(B1276&gt;='IN-NX'!$P$3,B1276&lt;='IN-NX'!$Q$3,'IN-NX'!$D$7=D1276,OR(LEFT(TH!L1276,2)="15",LEFT(TH!M1276,2)="15")),"x","")</f>
        <v/>
      </c>
      <c r="Y1276" s="55" t="str">
        <f>IF(AND(OR(LEFT(TH!L1276,2)="15",LEFT(TH!M1276,2)="15"),'152-CT'!$J$8=TH!F1276),"x","")</f>
        <v/>
      </c>
      <c r="Z1276" s="55" t="str">
        <f>IF(AND(OR(LEFT(TH!L1276,2)="15",LEFT(TH!M1276,2)="15"),TK!$E$7=TH!F1276),"x","")</f>
        <v/>
      </c>
      <c r="AA1276" s="55" t="str">
        <f>IF(AND(B1276&lt;=NKC!$N$8,B1276&gt;=NKC!$M$8),"x","")</f>
        <v/>
      </c>
    </row>
    <row r="1277" spans="1:29" ht="15.75" customHeight="1">
      <c r="A1277" s="219" t="str">
        <f>IF(B1277&lt;&gt;"",IF(AND(B1277&gt;=_TM1,B1277&lt;=_TM2,OR(TH!L1277="1111",TH!M1277="1111")),TH!D1277,""),"")</f>
        <v/>
      </c>
      <c r="B1277" s="36">
        <f t="shared" si="57"/>
        <v>9</v>
      </c>
      <c r="C1277" s="205">
        <f t="shared" si="56"/>
        <v>41162</v>
      </c>
      <c r="D1277" s="205"/>
      <c r="E1277" s="205">
        <v>41162</v>
      </c>
      <c r="F1277" s="206" t="s">
        <v>1271</v>
      </c>
      <c r="G1277" s="581" t="s">
        <v>1467</v>
      </c>
      <c r="H1277" s="45" t="s">
        <v>1136</v>
      </c>
      <c r="I1277" s="277">
        <v>63</v>
      </c>
      <c r="J1277" s="277">
        <v>47000</v>
      </c>
      <c r="K1277" s="38">
        <f t="shared" si="55"/>
        <v>2961000</v>
      </c>
      <c r="L1277" s="208" t="s">
        <v>311</v>
      </c>
      <c r="M1277" s="208" t="s">
        <v>208</v>
      </c>
      <c r="N1277" s="55" t="str">
        <f>IF(AND('331-CT'!$E$7=TH!H1277,OR(L1277="331",M1277="331")),"x","")</f>
        <v/>
      </c>
      <c r="O1277" s="55" t="str">
        <f>IF(AND($B1277&gt;='111'!$N$11,$B1277&lt;='111'!$O$11,OR($L1277=$O$7,$M1277=$O$7)),"x","")</f>
        <v/>
      </c>
      <c r="P1277" s="55" t="str">
        <f>IF(AND($L1277=$O$7,$B1277&lt;'111'!$N$11),"x","")</f>
        <v/>
      </c>
      <c r="Q1277" s="55" t="str">
        <f>IF(AND($M1277=$O$7,$B1277&lt;'111'!$N$11),"x","")</f>
        <v/>
      </c>
      <c r="R1277" s="55" t="str">
        <f>IF(ISERROR(FIND('112'!$M$9,G1277,1)),"",IF((AND(FIND('112'!$M$9,G1277,1)&gt;=1,$B1277&gt;='112'!$N$8,$B1277&lt;='112'!$O$8,OR($L1277='112'!$I$6,$M1277='112'!$I$6))),"x",""))</f>
        <v/>
      </c>
      <c r="S1277" s="55" t="str">
        <f>IF(ISERROR(FIND('112'!$M$9,G1277,1)),"",IF((AND(LEFT(G1277,2)=LEFT('112'!$M$9,2),B1277&lt;'112'!$N$8,$L1277='112'!$I$6)),"x",""))</f>
        <v/>
      </c>
      <c r="T1277" s="55" t="str">
        <f>IF(ISERROR(FIND('112'!$M$9,G1277,1)),"",IF((AND(RIGHT(G1277,2)=RIGHT('112'!$M$9,2),B1277&lt;'112'!$N$8,$M1277='112'!$I$6)),"x",""))</f>
        <v/>
      </c>
      <c r="U1277" s="55" t="str">
        <f>IF(AND('3411-CT'!$F$9=H1277,OR(LEFT(L1277,3)=$U$7,LEFT(M1277,3)=$U$7)),"x","")</f>
        <v/>
      </c>
      <c r="V1277" s="55" t="str">
        <f>IF(OR(TH!L1277=TH!$V$7,M1277=TH!$V$7),"x","")</f>
        <v/>
      </c>
      <c r="W1277" s="55" t="str">
        <f>IF(AND(OR(L1277="131",M1277="131"),H1277='131-CT'!$E$7),"x","")</f>
        <v/>
      </c>
      <c r="X1277" s="55" t="str">
        <f>IF(AND(B1277&gt;='IN-NX'!$P$3,B1277&lt;='IN-NX'!$Q$3,'IN-NX'!$D$7=D1277,OR(LEFT(TH!L1277,2)="15",LEFT(TH!M1277,2)="15")),"x","")</f>
        <v/>
      </c>
      <c r="Y1277" s="55" t="str">
        <f>IF(AND(OR(LEFT(TH!L1277,2)="15",LEFT(TH!M1277,2)="15"),'152-CT'!$J$8=TH!F1277),"x","")</f>
        <v/>
      </c>
      <c r="Z1277" s="55" t="str">
        <f>IF(AND(OR(LEFT(TH!L1277,2)="15",LEFT(TH!M1277,2)="15"),TK!$E$7=TH!F1277),"x","")</f>
        <v/>
      </c>
      <c r="AA1277" s="55" t="str">
        <f>IF(AND(B1277&lt;=NKC!$N$8,B1277&gt;=NKC!$M$8),"x","")</f>
        <v/>
      </c>
    </row>
    <row r="1278" spans="1:29" ht="15.75" customHeight="1">
      <c r="A1278" s="219" t="str">
        <f>IF(B1278&lt;&gt;"",IF(AND(B1278&gt;=_TM1,B1278&lt;=_TM2,OR(TH!L1278="1111",TH!M1278="1111")),TH!D1278,""),"")</f>
        <v/>
      </c>
      <c r="B1278" s="36">
        <f t="shared" si="57"/>
        <v>9</v>
      </c>
      <c r="C1278" s="205">
        <f t="shared" si="56"/>
        <v>41162</v>
      </c>
      <c r="D1278" s="205"/>
      <c r="E1278" s="205">
        <v>41162</v>
      </c>
      <c r="F1278" s="206" t="s">
        <v>1185</v>
      </c>
      <c r="G1278" s="581" t="s">
        <v>1467</v>
      </c>
      <c r="H1278" s="45" t="s">
        <v>1136</v>
      </c>
      <c r="I1278" s="277"/>
      <c r="J1278" s="277"/>
      <c r="K1278" s="38">
        <v>704340</v>
      </c>
      <c r="L1278" s="208" t="s">
        <v>311</v>
      </c>
      <c r="M1278" s="208" t="s">
        <v>549</v>
      </c>
      <c r="N1278" s="55" t="str">
        <f>IF(AND('331-CT'!$E$7=TH!H1278,OR(L1278="331",M1278="331")),"x","")</f>
        <v/>
      </c>
      <c r="O1278" s="55" t="str">
        <f>IF(AND($B1278&gt;='111'!$N$11,$B1278&lt;='111'!$O$11,OR($L1278=$O$7,$M1278=$O$7)),"x","")</f>
        <v/>
      </c>
      <c r="P1278" s="55" t="str">
        <f>IF(AND($L1278=$O$7,$B1278&lt;'111'!$N$11),"x","")</f>
        <v/>
      </c>
      <c r="Q1278" s="55" t="str">
        <f>IF(AND($M1278=$O$7,$B1278&lt;'111'!$N$11),"x","")</f>
        <v/>
      </c>
      <c r="R1278" s="55" t="str">
        <f>IF(ISERROR(FIND('112'!$M$9,G1278,1)),"",IF((AND(FIND('112'!$M$9,G1278,1)&gt;=1,$B1278&gt;='112'!$N$8,$B1278&lt;='112'!$O$8,OR($L1278='112'!$I$6,$M1278='112'!$I$6))),"x",""))</f>
        <v/>
      </c>
      <c r="S1278" s="55" t="str">
        <f>IF(ISERROR(FIND('112'!$M$9,G1278,1)),"",IF((AND(LEFT(G1278,2)=LEFT('112'!$M$9,2),B1278&lt;'112'!$N$8,$L1278='112'!$I$6)),"x",""))</f>
        <v/>
      </c>
      <c r="T1278" s="55" t="str">
        <f>IF(ISERROR(FIND('112'!$M$9,G1278,1)),"",IF((AND(RIGHT(G1278,2)=RIGHT('112'!$M$9,2),B1278&lt;'112'!$N$8,$M1278='112'!$I$6)),"x",""))</f>
        <v/>
      </c>
      <c r="U1278" s="55" t="str">
        <f>IF(AND('3411-CT'!$F$9=H1278,OR(LEFT(L1278,3)=$U$7,LEFT(M1278,3)=$U$7)),"x","")</f>
        <v/>
      </c>
      <c r="V1278" s="55" t="str">
        <f>IF(OR(TH!L1278=TH!$V$7,M1278=TH!$V$7),"x","")</f>
        <v/>
      </c>
      <c r="W1278" s="55" t="str">
        <f>IF(AND(OR(L1278="131",M1278="131"),H1278='131-CT'!$E$7),"x","")</f>
        <v/>
      </c>
      <c r="X1278" s="55" t="str">
        <f>IF(AND(B1278&gt;='IN-NX'!$P$3,B1278&lt;='IN-NX'!$Q$3,'IN-NX'!$D$7=D1278,OR(LEFT(TH!L1278,2)="15",LEFT(TH!M1278,2)="15")),"x","")</f>
        <v/>
      </c>
      <c r="Y1278" s="55" t="str">
        <f>IF(AND(OR(LEFT(TH!L1278,2)="15",LEFT(TH!M1278,2)="15"),'152-CT'!$J$8=TH!F1278),"x","")</f>
        <v/>
      </c>
      <c r="Z1278" s="55" t="str">
        <f>IF(AND(OR(LEFT(TH!L1278,2)="15",LEFT(TH!M1278,2)="15"),TK!$E$7=TH!F1278),"x","")</f>
        <v/>
      </c>
      <c r="AA1278" s="55" t="str">
        <f>IF(AND(B1278&lt;=NKC!$N$8,B1278&gt;=NKC!$M$8),"x","")</f>
        <v/>
      </c>
      <c r="AC1278" s="226"/>
    </row>
    <row r="1279" spans="1:29" ht="15.75" customHeight="1">
      <c r="A1279" s="219" t="str">
        <f>IF(B1279&lt;&gt;"",IF(AND(B1279&gt;=_TM1,B1279&lt;=_TM2,OR(TH!L1279="1111",TH!M1279="1111")),TH!D1279,""),"")</f>
        <v/>
      </c>
      <c r="B1279" s="36">
        <f t="shared" si="57"/>
        <v>9</v>
      </c>
      <c r="C1279" s="205">
        <f t="shared" si="56"/>
        <v>41162</v>
      </c>
      <c r="D1279" s="205"/>
      <c r="E1279" s="205">
        <v>41162</v>
      </c>
      <c r="F1279" s="206" t="s">
        <v>1468</v>
      </c>
      <c r="G1279" s="581" t="s">
        <v>1469</v>
      </c>
      <c r="H1279" s="207" t="s">
        <v>1327</v>
      </c>
      <c r="I1279" s="277">
        <v>590</v>
      </c>
      <c r="J1279" s="277">
        <v>13700</v>
      </c>
      <c r="K1279" s="38">
        <f t="shared" si="55"/>
        <v>8083000</v>
      </c>
      <c r="L1279" s="208" t="s">
        <v>49</v>
      </c>
      <c r="M1279" s="208" t="s">
        <v>208</v>
      </c>
      <c r="N1279" s="55" t="str">
        <f>IF(AND('331-CT'!$E$7=TH!H1279,OR(L1279="331",M1279="331")),"x","")</f>
        <v/>
      </c>
      <c r="O1279" s="55" t="str">
        <f>IF(AND($B1279&gt;='111'!$N$11,$B1279&lt;='111'!$O$11,OR($L1279=$O$7,$M1279=$O$7)),"x","")</f>
        <v/>
      </c>
      <c r="P1279" s="55" t="str">
        <f>IF(AND($L1279=$O$7,$B1279&lt;'111'!$N$11),"x","")</f>
        <v>x</v>
      </c>
      <c r="Q1279" s="55" t="str">
        <f>IF(AND($M1279=$O$7,$B1279&lt;'111'!$N$11),"x","")</f>
        <v/>
      </c>
      <c r="R1279" s="55" t="str">
        <f>IF(ISERROR(FIND('112'!$M$9,G1279,1)),"",IF((AND(FIND('112'!$M$9,G1279,1)&gt;=1,$B1279&gt;='112'!$N$8,$B1279&lt;='112'!$O$8,OR($L1279='112'!$I$6,$M1279='112'!$I$6))),"x",""))</f>
        <v/>
      </c>
      <c r="S1279" s="55" t="str">
        <f>IF(ISERROR(FIND('112'!$M$9,G1279,1)),"",IF((AND(LEFT(G1279,2)=LEFT('112'!$M$9,2),B1279&lt;'112'!$N$8,$L1279='112'!$I$6)),"x",""))</f>
        <v/>
      </c>
      <c r="T1279" s="55" t="str">
        <f>IF(ISERROR(FIND('112'!$M$9,G1279,1)),"",IF((AND(RIGHT(G1279,2)=RIGHT('112'!$M$9,2),B1279&lt;'112'!$N$8,$M1279='112'!$I$6)),"x",""))</f>
        <v/>
      </c>
      <c r="U1279" s="55" t="str">
        <f>IF(AND('3411-CT'!$F$9=H1279,OR(LEFT(L1279,3)=$U$7,LEFT(M1279,3)=$U$7)),"x","")</f>
        <v/>
      </c>
      <c r="V1279" s="55" t="str">
        <f>IF(OR(TH!L1279=TH!$V$7,M1279=TH!$V$7),"x","")</f>
        <v/>
      </c>
      <c r="W1279" s="55" t="str">
        <f>IF(AND(OR(L1279="131",M1279="131"),H1279='131-CT'!$E$7),"x","")</f>
        <v/>
      </c>
      <c r="X1279" s="55" t="str">
        <f>IF(AND(B1279&gt;='IN-NX'!$P$3,B1279&lt;='IN-NX'!$Q$3,'IN-NX'!$D$7=D1279,OR(LEFT(TH!L1279,2)="15",LEFT(TH!M1279,2)="15")),"x","")</f>
        <v/>
      </c>
      <c r="Y1279" s="55" t="str">
        <f>IF(AND(OR(LEFT(TH!L1279,2)="15",LEFT(TH!M1279,2)="15"),'152-CT'!$J$8=TH!F1279),"x","")</f>
        <v/>
      </c>
      <c r="Z1279" s="55" t="str">
        <f>IF(AND(OR(LEFT(TH!L1279,2)="15",LEFT(TH!M1279,2)="15"),TK!$E$7=TH!F1279),"x","")</f>
        <v/>
      </c>
      <c r="AA1279" s="55" t="str">
        <f>IF(AND(B1279&lt;=NKC!$N$8,B1279&gt;=NKC!$M$8),"x","")</f>
        <v/>
      </c>
    </row>
    <row r="1280" spans="1:29" ht="15.75" customHeight="1">
      <c r="A1280" s="219" t="str">
        <f>IF(B1280&lt;&gt;"",IF(AND(B1280&gt;=_TM1,B1280&lt;=_TM2,OR(TH!L1280="1111",TH!M1280="1111")),TH!D1280,""),"")</f>
        <v/>
      </c>
      <c r="B1280" s="36">
        <f t="shared" si="57"/>
        <v>9</v>
      </c>
      <c r="C1280" s="205">
        <f t="shared" si="56"/>
        <v>41162</v>
      </c>
      <c r="D1280" s="205"/>
      <c r="E1280" s="205">
        <v>41162</v>
      </c>
      <c r="F1280" s="206" t="s">
        <v>1470</v>
      </c>
      <c r="G1280" s="581" t="s">
        <v>1469</v>
      </c>
      <c r="H1280" s="207" t="s">
        <v>1327</v>
      </c>
      <c r="I1280" s="277">
        <v>199</v>
      </c>
      <c r="J1280" s="277">
        <v>10650</v>
      </c>
      <c r="K1280" s="38">
        <f t="shared" si="55"/>
        <v>2119350</v>
      </c>
      <c r="L1280" s="208" t="s">
        <v>49</v>
      </c>
      <c r="M1280" s="208" t="s">
        <v>208</v>
      </c>
      <c r="N1280" s="55" t="str">
        <f>IF(AND('331-CT'!$E$7=TH!H1280,OR(L1280="331",M1280="331")),"x","")</f>
        <v/>
      </c>
      <c r="O1280" s="55" t="str">
        <f>IF(AND($B1280&gt;='111'!$N$11,$B1280&lt;='111'!$O$11,OR($L1280=$O$7,$M1280=$O$7)),"x","")</f>
        <v/>
      </c>
      <c r="P1280" s="55" t="str">
        <f>IF(AND($L1280=$O$7,$B1280&lt;'111'!$N$11),"x","")</f>
        <v>x</v>
      </c>
      <c r="Q1280" s="55" t="str">
        <f>IF(AND($M1280=$O$7,$B1280&lt;'111'!$N$11),"x","")</f>
        <v/>
      </c>
      <c r="R1280" s="55" t="str">
        <f>IF(ISERROR(FIND('112'!$M$9,G1280,1)),"",IF((AND(FIND('112'!$M$9,G1280,1)&gt;=1,$B1280&gt;='112'!$N$8,$B1280&lt;='112'!$O$8,OR($L1280='112'!$I$6,$M1280='112'!$I$6))),"x",""))</f>
        <v/>
      </c>
      <c r="S1280" s="55" t="str">
        <f>IF(ISERROR(FIND('112'!$M$9,G1280,1)),"",IF((AND(LEFT(G1280,2)=LEFT('112'!$M$9,2),B1280&lt;'112'!$N$8,$L1280='112'!$I$6)),"x",""))</f>
        <v/>
      </c>
      <c r="T1280" s="55" t="str">
        <f>IF(ISERROR(FIND('112'!$M$9,G1280,1)),"",IF((AND(RIGHT(G1280,2)=RIGHT('112'!$M$9,2),B1280&lt;'112'!$N$8,$M1280='112'!$I$6)),"x",""))</f>
        <v/>
      </c>
      <c r="U1280" s="55" t="str">
        <f>IF(AND('3411-CT'!$F$9=H1280,OR(LEFT(L1280,3)=$U$7,LEFT(M1280,3)=$U$7)),"x","")</f>
        <v/>
      </c>
      <c r="V1280" s="55" t="str">
        <f>IF(OR(TH!L1280=TH!$V$7,M1280=TH!$V$7),"x","")</f>
        <v/>
      </c>
      <c r="W1280" s="55" t="str">
        <f>IF(AND(OR(L1280="131",M1280="131"),H1280='131-CT'!$E$7),"x","")</f>
        <v/>
      </c>
      <c r="X1280" s="55" t="str">
        <f>IF(AND(B1280&gt;='IN-NX'!$P$3,B1280&lt;='IN-NX'!$Q$3,'IN-NX'!$D$7=D1280,OR(LEFT(TH!L1280,2)="15",LEFT(TH!M1280,2)="15")),"x","")</f>
        <v/>
      </c>
      <c r="Y1280" s="55" t="str">
        <f>IF(AND(OR(LEFT(TH!L1280,2)="15",LEFT(TH!M1280,2)="15"),'152-CT'!$J$8=TH!F1280),"x","")</f>
        <v/>
      </c>
      <c r="Z1280" s="55" t="str">
        <f>IF(AND(OR(LEFT(TH!L1280,2)="15",LEFT(TH!M1280,2)="15"),TK!$E$7=TH!F1280),"x","")</f>
        <v/>
      </c>
      <c r="AA1280" s="55" t="str">
        <f>IF(AND(B1280&lt;=NKC!$N$8,B1280&gt;=NKC!$M$8),"x","")</f>
        <v/>
      </c>
    </row>
    <row r="1281" spans="1:29" ht="15.75" customHeight="1">
      <c r="A1281" s="219" t="str">
        <f>IF(B1281&lt;&gt;"",IF(AND(B1281&gt;=_TM1,B1281&lt;=_TM2,OR(TH!L1281="1111",TH!M1281="1111")),TH!D1281,""),"")</f>
        <v/>
      </c>
      <c r="B1281" s="36">
        <f t="shared" si="57"/>
        <v>9</v>
      </c>
      <c r="C1281" s="205">
        <f t="shared" si="56"/>
        <v>41162</v>
      </c>
      <c r="D1281" s="205"/>
      <c r="E1281" s="205">
        <v>41162</v>
      </c>
      <c r="F1281" s="206" t="s">
        <v>1471</v>
      </c>
      <c r="G1281" s="581" t="s">
        <v>1469</v>
      </c>
      <c r="H1281" s="207" t="s">
        <v>1327</v>
      </c>
      <c r="I1281" s="277">
        <v>303</v>
      </c>
      <c r="J1281" s="277">
        <v>12600</v>
      </c>
      <c r="K1281" s="38">
        <f t="shared" si="55"/>
        <v>3817800</v>
      </c>
      <c r="L1281" s="208" t="s">
        <v>49</v>
      </c>
      <c r="M1281" s="208" t="s">
        <v>208</v>
      </c>
      <c r="N1281" s="55" t="str">
        <f>IF(AND('331-CT'!$E$7=TH!H1281,OR(L1281="331",M1281="331")),"x","")</f>
        <v/>
      </c>
      <c r="O1281" s="55" t="str">
        <f>IF(AND($B1281&gt;='111'!$N$11,$B1281&lt;='111'!$O$11,OR($L1281=$O$7,$M1281=$O$7)),"x","")</f>
        <v/>
      </c>
      <c r="P1281" s="55" t="str">
        <f>IF(AND($L1281=$O$7,$B1281&lt;'111'!$N$11),"x","")</f>
        <v>x</v>
      </c>
      <c r="Q1281" s="55" t="str">
        <f>IF(AND($M1281=$O$7,$B1281&lt;'111'!$N$11),"x","")</f>
        <v/>
      </c>
      <c r="R1281" s="55" t="str">
        <f>IF(ISERROR(FIND('112'!$M$9,G1281,1)),"",IF((AND(FIND('112'!$M$9,G1281,1)&gt;=1,$B1281&gt;='112'!$N$8,$B1281&lt;='112'!$O$8,OR($L1281='112'!$I$6,$M1281='112'!$I$6))),"x",""))</f>
        <v/>
      </c>
      <c r="S1281" s="55" t="str">
        <f>IF(ISERROR(FIND('112'!$M$9,G1281,1)),"",IF((AND(LEFT(G1281,2)=LEFT('112'!$M$9,2),B1281&lt;'112'!$N$8,$L1281='112'!$I$6)),"x",""))</f>
        <v/>
      </c>
      <c r="T1281" s="55" t="str">
        <f>IF(ISERROR(FIND('112'!$M$9,G1281,1)),"",IF((AND(RIGHT(G1281,2)=RIGHT('112'!$M$9,2),B1281&lt;'112'!$N$8,$M1281='112'!$I$6)),"x",""))</f>
        <v/>
      </c>
      <c r="U1281" s="55" t="str">
        <f>IF(AND('3411-CT'!$F$9=H1281,OR(LEFT(L1281,3)=$U$7,LEFT(M1281,3)=$U$7)),"x","")</f>
        <v/>
      </c>
      <c r="V1281" s="55" t="str">
        <f>IF(OR(TH!L1281=TH!$V$7,M1281=TH!$V$7),"x","")</f>
        <v/>
      </c>
      <c r="W1281" s="55" t="str">
        <f>IF(AND(OR(L1281="131",M1281="131"),H1281='131-CT'!$E$7),"x","")</f>
        <v/>
      </c>
      <c r="X1281" s="55" t="str">
        <f>IF(AND(B1281&gt;='IN-NX'!$P$3,B1281&lt;='IN-NX'!$Q$3,'IN-NX'!$D$7=D1281,OR(LEFT(TH!L1281,2)="15",LEFT(TH!M1281,2)="15")),"x","")</f>
        <v/>
      </c>
      <c r="Y1281" s="55" t="str">
        <f>IF(AND(OR(LEFT(TH!L1281,2)="15",LEFT(TH!M1281,2)="15"),'152-CT'!$J$8=TH!F1281),"x","")</f>
        <v/>
      </c>
      <c r="Z1281" s="55" t="str">
        <f>IF(AND(OR(LEFT(TH!L1281,2)="15",LEFT(TH!M1281,2)="15"),TK!$E$7=TH!F1281),"x","")</f>
        <v/>
      </c>
      <c r="AA1281" s="55" t="str">
        <f>IF(AND(B1281&lt;=NKC!$N$8,B1281&gt;=NKC!$M$8),"x","")</f>
        <v/>
      </c>
    </row>
    <row r="1282" spans="1:29" ht="15.75" customHeight="1">
      <c r="A1282" s="219" t="str">
        <f>IF(B1282&lt;&gt;"",IF(AND(B1282&gt;=_TM1,B1282&lt;=_TM2,OR(TH!L1282="1111",TH!M1282="1111")),TH!D1282,""),"")</f>
        <v/>
      </c>
      <c r="B1282" s="36">
        <f t="shared" si="57"/>
        <v>9</v>
      </c>
      <c r="C1282" s="205">
        <f t="shared" si="56"/>
        <v>41162</v>
      </c>
      <c r="D1282" s="205"/>
      <c r="E1282" s="205">
        <v>41162</v>
      </c>
      <c r="F1282" s="206" t="s">
        <v>1185</v>
      </c>
      <c r="G1282" s="581" t="s">
        <v>1469</v>
      </c>
      <c r="H1282" s="207" t="s">
        <v>1327</v>
      </c>
      <c r="I1282" s="277"/>
      <c r="J1282" s="277"/>
      <c r="K1282" s="38">
        <v>1402015</v>
      </c>
      <c r="L1282" s="208" t="s">
        <v>49</v>
      </c>
      <c r="M1282" s="208" t="s">
        <v>549</v>
      </c>
      <c r="N1282" s="55" t="str">
        <f>IF(AND('331-CT'!$E$7=TH!H1282,OR(L1282="331",M1282="331")),"x","")</f>
        <v/>
      </c>
      <c r="O1282" s="55" t="str">
        <f>IF(AND($B1282&gt;='111'!$N$11,$B1282&lt;='111'!$O$11,OR($L1282=$O$7,$M1282=$O$7)),"x","")</f>
        <v/>
      </c>
      <c r="P1282" s="55" t="str">
        <f>IF(AND($L1282=$O$7,$B1282&lt;'111'!$N$11),"x","")</f>
        <v>x</v>
      </c>
      <c r="Q1282" s="55" t="str">
        <f>IF(AND($M1282=$O$7,$B1282&lt;'111'!$N$11),"x","")</f>
        <v/>
      </c>
      <c r="R1282" s="55" t="str">
        <f>IF(ISERROR(FIND('112'!$M$9,G1282,1)),"",IF((AND(FIND('112'!$M$9,G1282,1)&gt;=1,$B1282&gt;='112'!$N$8,$B1282&lt;='112'!$O$8,OR($L1282='112'!$I$6,$M1282='112'!$I$6))),"x",""))</f>
        <v/>
      </c>
      <c r="S1282" s="55" t="str">
        <f>IF(ISERROR(FIND('112'!$M$9,G1282,1)),"",IF((AND(LEFT(G1282,2)=LEFT('112'!$M$9,2),B1282&lt;'112'!$N$8,$L1282='112'!$I$6)),"x",""))</f>
        <v/>
      </c>
      <c r="T1282" s="55" t="str">
        <f>IF(ISERROR(FIND('112'!$M$9,G1282,1)),"",IF((AND(RIGHT(G1282,2)=RIGHT('112'!$M$9,2),B1282&lt;'112'!$N$8,$M1282='112'!$I$6)),"x",""))</f>
        <v/>
      </c>
      <c r="U1282" s="55" t="str">
        <f>IF(AND('3411-CT'!$F$9=H1282,OR(LEFT(L1282,3)=$U$7,LEFT(M1282,3)=$U$7)),"x","")</f>
        <v/>
      </c>
      <c r="V1282" s="55" t="str">
        <f>IF(OR(TH!L1282=TH!$V$7,M1282=TH!$V$7),"x","")</f>
        <v/>
      </c>
      <c r="W1282" s="55" t="str">
        <f>IF(AND(OR(L1282="131",M1282="131"),H1282='131-CT'!$E$7),"x","")</f>
        <v/>
      </c>
      <c r="X1282" s="55" t="str">
        <f>IF(AND(B1282&gt;='IN-NX'!$P$3,B1282&lt;='IN-NX'!$Q$3,'IN-NX'!$D$7=D1282,OR(LEFT(TH!L1282,2)="15",LEFT(TH!M1282,2)="15")),"x","")</f>
        <v/>
      </c>
      <c r="Y1282" s="55" t="str">
        <f>IF(AND(OR(LEFT(TH!L1282,2)="15",LEFT(TH!M1282,2)="15"),'152-CT'!$J$8=TH!F1282),"x","")</f>
        <v/>
      </c>
      <c r="Z1282" s="55" t="str">
        <f>IF(AND(OR(LEFT(TH!L1282,2)="15",LEFT(TH!M1282,2)="15"),TK!$E$7=TH!F1282),"x","")</f>
        <v/>
      </c>
      <c r="AA1282" s="55" t="str">
        <f>IF(AND(B1282&lt;=NKC!$N$8,B1282&gt;=NKC!$M$8),"x","")</f>
        <v/>
      </c>
      <c r="AC1282" s="226"/>
    </row>
    <row r="1283" spans="1:29" ht="15.75" customHeight="1">
      <c r="A1283" s="219" t="str">
        <f>IF(B1283&lt;&gt;"",IF(AND(B1283&gt;=_TM1,B1283&lt;=_TM2,OR(TH!L1283="1111",TH!M1283="1111")),TH!D1283,""),"")</f>
        <v/>
      </c>
      <c r="B1283" s="36">
        <f t="shared" si="57"/>
        <v>9</v>
      </c>
      <c r="C1283" s="205">
        <f t="shared" si="56"/>
        <v>41162</v>
      </c>
      <c r="D1283" s="205"/>
      <c r="E1283" s="205">
        <v>41162</v>
      </c>
      <c r="F1283" s="206" t="s">
        <v>1472</v>
      </c>
      <c r="G1283" s="581" t="s">
        <v>1473</v>
      </c>
      <c r="H1283" s="207" t="s">
        <v>1207</v>
      </c>
      <c r="I1283" s="277">
        <v>100</v>
      </c>
      <c r="J1283" s="277">
        <v>7268</v>
      </c>
      <c r="K1283" s="38">
        <f t="shared" si="55"/>
        <v>726800</v>
      </c>
      <c r="L1283" s="208" t="s">
        <v>49</v>
      </c>
      <c r="M1283" s="208" t="s">
        <v>208</v>
      </c>
      <c r="N1283" s="55" t="str">
        <f>IF(AND('331-CT'!$E$7=TH!H1283,OR(L1283="331",M1283="331")),"x","")</f>
        <v/>
      </c>
      <c r="O1283" s="55" t="str">
        <f>IF(AND($B1283&gt;='111'!$N$11,$B1283&lt;='111'!$O$11,OR($L1283=$O$7,$M1283=$O$7)),"x","")</f>
        <v/>
      </c>
      <c r="P1283" s="55" t="str">
        <f>IF(AND($L1283=$O$7,$B1283&lt;'111'!$N$11),"x","")</f>
        <v>x</v>
      </c>
      <c r="Q1283" s="55" t="str">
        <f>IF(AND($M1283=$O$7,$B1283&lt;'111'!$N$11),"x","")</f>
        <v/>
      </c>
      <c r="R1283" s="55" t="str">
        <f>IF(ISERROR(FIND('112'!$M$9,G1283,1)),"",IF((AND(FIND('112'!$M$9,G1283,1)&gt;=1,$B1283&gt;='112'!$N$8,$B1283&lt;='112'!$O$8,OR($L1283='112'!$I$6,$M1283='112'!$I$6))),"x",""))</f>
        <v/>
      </c>
      <c r="S1283" s="55" t="str">
        <f>IF(ISERROR(FIND('112'!$M$9,G1283,1)),"",IF((AND(LEFT(G1283,2)=LEFT('112'!$M$9,2),B1283&lt;'112'!$N$8,$L1283='112'!$I$6)),"x",""))</f>
        <v/>
      </c>
      <c r="T1283" s="55" t="str">
        <f>IF(ISERROR(FIND('112'!$M$9,G1283,1)),"",IF((AND(RIGHT(G1283,2)=RIGHT('112'!$M$9,2),B1283&lt;'112'!$N$8,$M1283='112'!$I$6)),"x",""))</f>
        <v/>
      </c>
      <c r="U1283" s="55" t="str">
        <f>IF(AND('3411-CT'!$F$9=H1283,OR(LEFT(L1283,3)=$U$7,LEFT(M1283,3)=$U$7)),"x","")</f>
        <v/>
      </c>
      <c r="V1283" s="55" t="str">
        <f>IF(OR(TH!L1283=TH!$V$7,M1283=TH!$V$7),"x","")</f>
        <v/>
      </c>
      <c r="W1283" s="55" t="str">
        <f>IF(AND(OR(L1283="131",M1283="131"),H1283='131-CT'!$E$7),"x","")</f>
        <v/>
      </c>
      <c r="X1283" s="55" t="str">
        <f>IF(AND(B1283&gt;='IN-NX'!$P$3,B1283&lt;='IN-NX'!$Q$3,'IN-NX'!$D$7=D1283,OR(LEFT(TH!L1283,2)="15",LEFT(TH!M1283,2)="15")),"x","")</f>
        <v/>
      </c>
      <c r="Y1283" s="55" t="str">
        <f>IF(AND(OR(LEFT(TH!L1283,2)="15",LEFT(TH!M1283,2)="15"),'152-CT'!$J$8=TH!F1283),"x","")</f>
        <v/>
      </c>
      <c r="Z1283" s="55" t="str">
        <f>IF(AND(OR(LEFT(TH!L1283,2)="15",LEFT(TH!M1283,2)="15"),TK!$E$7=TH!F1283),"x","")</f>
        <v/>
      </c>
      <c r="AA1283" s="55" t="str">
        <f>IF(AND(B1283&lt;=NKC!$N$8,B1283&gt;=NKC!$M$8),"x","")</f>
        <v/>
      </c>
    </row>
    <row r="1284" spans="1:29" ht="15.75" customHeight="1">
      <c r="A1284" s="219" t="str">
        <f>IF(B1284&lt;&gt;"",IF(AND(B1284&gt;=_TM1,B1284&lt;=_TM2,OR(TH!L1284="1111",TH!M1284="1111")),TH!D1284,""),"")</f>
        <v/>
      </c>
      <c r="B1284" s="36">
        <f t="shared" si="57"/>
        <v>9</v>
      </c>
      <c r="C1284" s="205">
        <f t="shared" si="56"/>
        <v>41162</v>
      </c>
      <c r="D1284" s="205"/>
      <c r="E1284" s="205">
        <v>41162</v>
      </c>
      <c r="F1284" s="206" t="s">
        <v>1474</v>
      </c>
      <c r="G1284" s="581" t="s">
        <v>1473</v>
      </c>
      <c r="H1284" s="207" t="s">
        <v>1207</v>
      </c>
      <c r="I1284" s="277">
        <v>228</v>
      </c>
      <c r="J1284" s="277">
        <v>5300</v>
      </c>
      <c r="K1284" s="38">
        <f t="shared" si="55"/>
        <v>1208400</v>
      </c>
      <c r="L1284" s="208" t="s">
        <v>49</v>
      </c>
      <c r="M1284" s="208" t="s">
        <v>208</v>
      </c>
      <c r="N1284" s="55" t="str">
        <f>IF(AND('331-CT'!$E$7=TH!H1284,OR(L1284="331",M1284="331")),"x","")</f>
        <v/>
      </c>
      <c r="O1284" s="55" t="str">
        <f>IF(AND($B1284&gt;='111'!$N$11,$B1284&lt;='111'!$O$11,OR($L1284=$O$7,$M1284=$O$7)),"x","")</f>
        <v/>
      </c>
      <c r="P1284" s="55" t="str">
        <f>IF(AND($L1284=$O$7,$B1284&lt;'111'!$N$11),"x","")</f>
        <v>x</v>
      </c>
      <c r="Q1284" s="55" t="str">
        <f>IF(AND($M1284=$O$7,$B1284&lt;'111'!$N$11),"x","")</f>
        <v/>
      </c>
      <c r="R1284" s="55" t="str">
        <f>IF(ISERROR(FIND('112'!$M$9,G1284,1)),"",IF((AND(FIND('112'!$M$9,G1284,1)&gt;=1,$B1284&gt;='112'!$N$8,$B1284&lt;='112'!$O$8,OR($L1284='112'!$I$6,$M1284='112'!$I$6))),"x",""))</f>
        <v/>
      </c>
      <c r="S1284" s="55" t="str">
        <f>IF(ISERROR(FIND('112'!$M$9,G1284,1)),"",IF((AND(LEFT(G1284,2)=LEFT('112'!$M$9,2),B1284&lt;'112'!$N$8,$L1284='112'!$I$6)),"x",""))</f>
        <v/>
      </c>
      <c r="T1284" s="55" t="str">
        <f>IF(ISERROR(FIND('112'!$M$9,G1284,1)),"",IF((AND(RIGHT(G1284,2)=RIGHT('112'!$M$9,2),B1284&lt;'112'!$N$8,$M1284='112'!$I$6)),"x",""))</f>
        <v/>
      </c>
      <c r="U1284" s="55" t="str">
        <f>IF(AND('3411-CT'!$F$9=H1284,OR(LEFT(L1284,3)=$U$7,LEFT(M1284,3)=$U$7)),"x","")</f>
        <v/>
      </c>
      <c r="V1284" s="55" t="str">
        <f>IF(OR(TH!L1284=TH!$V$7,M1284=TH!$V$7),"x","")</f>
        <v/>
      </c>
      <c r="W1284" s="55" t="str">
        <f>IF(AND(OR(L1284="131",M1284="131"),H1284='131-CT'!$E$7),"x","")</f>
        <v/>
      </c>
      <c r="X1284" s="55" t="str">
        <f>IF(AND(B1284&gt;='IN-NX'!$P$3,B1284&lt;='IN-NX'!$Q$3,'IN-NX'!$D$7=D1284,OR(LEFT(TH!L1284,2)="15",LEFT(TH!M1284,2)="15")),"x","")</f>
        <v/>
      </c>
      <c r="Y1284" s="55" t="str">
        <f>IF(AND(OR(LEFT(TH!L1284,2)="15",LEFT(TH!M1284,2)="15"),'152-CT'!$J$8=TH!F1284),"x","")</f>
        <v/>
      </c>
      <c r="Z1284" s="55" t="str">
        <f>IF(AND(OR(LEFT(TH!L1284,2)="15",LEFT(TH!M1284,2)="15"),TK!$E$7=TH!F1284),"x","")</f>
        <v/>
      </c>
      <c r="AA1284" s="55" t="str">
        <f>IF(AND(B1284&lt;=NKC!$N$8,B1284&gt;=NKC!$M$8),"x","")</f>
        <v/>
      </c>
    </row>
    <row r="1285" spans="1:29" ht="15.75" customHeight="1">
      <c r="A1285" s="219" t="str">
        <f>IF(B1285&lt;&gt;"",IF(AND(B1285&gt;=_TM1,B1285&lt;=_TM2,OR(TH!L1285="1111",TH!M1285="1111")),TH!D1285,""),"")</f>
        <v/>
      </c>
      <c r="B1285" s="36">
        <f t="shared" si="57"/>
        <v>9</v>
      </c>
      <c r="C1285" s="205">
        <f t="shared" si="56"/>
        <v>41162</v>
      </c>
      <c r="D1285" s="205"/>
      <c r="E1285" s="205">
        <v>41162</v>
      </c>
      <c r="F1285" s="206" t="s">
        <v>1185</v>
      </c>
      <c r="G1285" s="581" t="s">
        <v>1473</v>
      </c>
      <c r="H1285" s="207" t="s">
        <v>1207</v>
      </c>
      <c r="I1285" s="277"/>
      <c r="J1285" s="277"/>
      <c r="K1285" s="38">
        <v>193520</v>
      </c>
      <c r="L1285" s="208" t="s">
        <v>49</v>
      </c>
      <c r="M1285" s="208" t="s">
        <v>549</v>
      </c>
      <c r="N1285" s="55" t="str">
        <f>IF(AND('331-CT'!$E$7=TH!H1285,OR(L1285="331",M1285="331")),"x","")</f>
        <v/>
      </c>
      <c r="O1285" s="55" t="str">
        <f>IF(AND($B1285&gt;='111'!$N$11,$B1285&lt;='111'!$O$11,OR($L1285=$O$7,$M1285=$O$7)),"x","")</f>
        <v/>
      </c>
      <c r="P1285" s="55" t="str">
        <f>IF(AND($L1285=$O$7,$B1285&lt;'111'!$N$11),"x","")</f>
        <v>x</v>
      </c>
      <c r="Q1285" s="55" t="str">
        <f>IF(AND($M1285=$O$7,$B1285&lt;'111'!$N$11),"x","")</f>
        <v/>
      </c>
      <c r="R1285" s="55" t="str">
        <f>IF(ISERROR(FIND('112'!$M$9,G1285,1)),"",IF((AND(FIND('112'!$M$9,G1285,1)&gt;=1,$B1285&gt;='112'!$N$8,$B1285&lt;='112'!$O$8,OR($L1285='112'!$I$6,$M1285='112'!$I$6))),"x",""))</f>
        <v/>
      </c>
      <c r="S1285" s="55" t="str">
        <f>IF(ISERROR(FIND('112'!$M$9,G1285,1)),"",IF((AND(LEFT(G1285,2)=LEFT('112'!$M$9,2),B1285&lt;'112'!$N$8,$L1285='112'!$I$6)),"x",""))</f>
        <v/>
      </c>
      <c r="T1285" s="55" t="str">
        <f>IF(ISERROR(FIND('112'!$M$9,G1285,1)),"",IF((AND(RIGHT(G1285,2)=RIGHT('112'!$M$9,2),B1285&lt;'112'!$N$8,$M1285='112'!$I$6)),"x",""))</f>
        <v/>
      </c>
      <c r="U1285" s="55" t="str">
        <f>IF(AND('3411-CT'!$F$9=H1285,OR(LEFT(L1285,3)=$U$7,LEFT(M1285,3)=$U$7)),"x","")</f>
        <v/>
      </c>
      <c r="V1285" s="55" t="str">
        <f>IF(OR(TH!L1285=TH!$V$7,M1285=TH!$V$7),"x","")</f>
        <v/>
      </c>
      <c r="W1285" s="55" t="str">
        <f>IF(AND(OR(L1285="131",M1285="131"),H1285='131-CT'!$E$7),"x","")</f>
        <v/>
      </c>
      <c r="X1285" s="55" t="str">
        <f>IF(AND(B1285&gt;='IN-NX'!$P$3,B1285&lt;='IN-NX'!$Q$3,'IN-NX'!$D$7=D1285,OR(LEFT(TH!L1285,2)="15",LEFT(TH!M1285,2)="15")),"x","")</f>
        <v/>
      </c>
      <c r="Y1285" s="55" t="str">
        <f>IF(AND(OR(LEFT(TH!L1285,2)="15",LEFT(TH!M1285,2)="15"),'152-CT'!$J$8=TH!F1285),"x","")</f>
        <v/>
      </c>
      <c r="Z1285" s="55" t="str">
        <f>IF(AND(OR(LEFT(TH!L1285,2)="15",LEFT(TH!M1285,2)="15"),TK!$E$7=TH!F1285),"x","")</f>
        <v/>
      </c>
      <c r="AA1285" s="55" t="str">
        <f>IF(AND(B1285&lt;=NKC!$N$8,B1285&gt;=NKC!$M$8),"x","")</f>
        <v/>
      </c>
      <c r="AC1285" s="226"/>
    </row>
    <row r="1286" spans="1:29" ht="15.75" customHeight="1">
      <c r="A1286" s="219" t="str">
        <f>IF(B1286&lt;&gt;"",IF(AND(B1286&gt;=_TM1,B1286&lt;=_TM2,OR(TH!L1286="1111",TH!M1286="1111")),TH!D1286,""),"")</f>
        <v/>
      </c>
      <c r="B1286" s="36">
        <f t="shared" si="57"/>
        <v>9</v>
      </c>
      <c r="C1286" s="205">
        <f t="shared" si="56"/>
        <v>41163</v>
      </c>
      <c r="D1286" s="205"/>
      <c r="E1286" s="205">
        <v>41163</v>
      </c>
      <c r="F1286" s="206" t="s">
        <v>1474</v>
      </c>
      <c r="G1286" s="581" t="s">
        <v>1475</v>
      </c>
      <c r="H1286" s="207" t="s">
        <v>1207</v>
      </c>
      <c r="I1286" s="277">
        <v>395</v>
      </c>
      <c r="J1286" s="277">
        <v>5300</v>
      </c>
      <c r="K1286" s="38">
        <f t="shared" si="55"/>
        <v>2093500</v>
      </c>
      <c r="L1286" s="208" t="s">
        <v>49</v>
      </c>
      <c r="M1286" s="208" t="s">
        <v>208</v>
      </c>
      <c r="N1286" s="55" t="str">
        <f>IF(AND('331-CT'!$E$7=TH!H1286,OR(L1286="331",M1286="331")),"x","")</f>
        <v/>
      </c>
      <c r="O1286" s="55" t="str">
        <f>IF(AND($B1286&gt;='111'!$N$11,$B1286&lt;='111'!$O$11,OR($L1286=$O$7,$M1286=$O$7)),"x","")</f>
        <v/>
      </c>
      <c r="P1286" s="55" t="str">
        <f>IF(AND($L1286=$O$7,$B1286&lt;'111'!$N$11),"x","")</f>
        <v>x</v>
      </c>
      <c r="Q1286" s="55" t="str">
        <f>IF(AND($M1286=$O$7,$B1286&lt;'111'!$N$11),"x","")</f>
        <v/>
      </c>
      <c r="R1286" s="55" t="str">
        <f>IF(ISERROR(FIND('112'!$M$9,G1286,1)),"",IF((AND(FIND('112'!$M$9,G1286,1)&gt;=1,$B1286&gt;='112'!$N$8,$B1286&lt;='112'!$O$8,OR($L1286='112'!$I$6,$M1286='112'!$I$6))),"x",""))</f>
        <v/>
      </c>
      <c r="S1286" s="55" t="str">
        <f>IF(ISERROR(FIND('112'!$M$9,G1286,1)),"",IF((AND(LEFT(G1286,2)=LEFT('112'!$M$9,2),B1286&lt;'112'!$N$8,$L1286='112'!$I$6)),"x",""))</f>
        <v/>
      </c>
      <c r="T1286" s="55" t="str">
        <f>IF(ISERROR(FIND('112'!$M$9,G1286,1)),"",IF((AND(RIGHT(G1286,2)=RIGHT('112'!$M$9,2),B1286&lt;'112'!$N$8,$M1286='112'!$I$6)),"x",""))</f>
        <v/>
      </c>
      <c r="U1286" s="55" t="str">
        <f>IF(AND('3411-CT'!$F$9=H1286,OR(LEFT(L1286,3)=$U$7,LEFT(M1286,3)=$U$7)),"x","")</f>
        <v/>
      </c>
      <c r="V1286" s="55" t="str">
        <f>IF(OR(TH!L1286=TH!$V$7,M1286=TH!$V$7),"x","")</f>
        <v/>
      </c>
      <c r="W1286" s="55" t="str">
        <f>IF(AND(OR(L1286="131",M1286="131"),H1286='131-CT'!$E$7),"x","")</f>
        <v/>
      </c>
      <c r="X1286" s="55" t="str">
        <f>IF(AND(B1286&gt;='IN-NX'!$P$3,B1286&lt;='IN-NX'!$Q$3,'IN-NX'!$D$7=D1286,OR(LEFT(TH!L1286,2)="15",LEFT(TH!M1286,2)="15")),"x","")</f>
        <v/>
      </c>
      <c r="Y1286" s="55" t="str">
        <f>IF(AND(OR(LEFT(TH!L1286,2)="15",LEFT(TH!M1286,2)="15"),'152-CT'!$J$8=TH!F1286),"x","")</f>
        <v/>
      </c>
      <c r="Z1286" s="55" t="str">
        <f>IF(AND(OR(LEFT(TH!L1286,2)="15",LEFT(TH!M1286,2)="15"),TK!$E$7=TH!F1286),"x","")</f>
        <v/>
      </c>
      <c r="AA1286" s="55" t="str">
        <f>IF(AND(B1286&lt;=NKC!$N$8,B1286&gt;=NKC!$M$8),"x","")</f>
        <v/>
      </c>
    </row>
    <row r="1287" spans="1:29" ht="15.75" customHeight="1">
      <c r="A1287" s="219" t="str">
        <f>IF(B1287&lt;&gt;"",IF(AND(B1287&gt;=_TM1,B1287&lt;=_TM2,OR(TH!L1287="1111",TH!M1287="1111")),TH!D1287,""),"")</f>
        <v/>
      </c>
      <c r="B1287" s="36">
        <f t="shared" si="57"/>
        <v>9</v>
      </c>
      <c r="C1287" s="205">
        <f t="shared" si="56"/>
        <v>41163</v>
      </c>
      <c r="D1287" s="205"/>
      <c r="E1287" s="205">
        <v>41163</v>
      </c>
      <c r="F1287" s="206" t="s">
        <v>1474</v>
      </c>
      <c r="G1287" s="581" t="s">
        <v>1475</v>
      </c>
      <c r="H1287" s="207" t="s">
        <v>1207</v>
      </c>
      <c r="I1287" s="277">
        <v>413</v>
      </c>
      <c r="J1287" s="277">
        <v>5300</v>
      </c>
      <c r="K1287" s="38">
        <f t="shared" si="55"/>
        <v>2188900</v>
      </c>
      <c r="L1287" s="208" t="s">
        <v>49</v>
      </c>
      <c r="M1287" s="208" t="s">
        <v>208</v>
      </c>
      <c r="N1287" s="55" t="str">
        <f>IF(AND('331-CT'!$E$7=TH!H1287,OR(L1287="331",M1287="331")),"x","")</f>
        <v/>
      </c>
      <c r="O1287" s="55" t="str">
        <f>IF(AND($B1287&gt;='111'!$N$11,$B1287&lt;='111'!$O$11,OR($L1287=$O$7,$M1287=$O$7)),"x","")</f>
        <v/>
      </c>
      <c r="P1287" s="55" t="str">
        <f>IF(AND($L1287=$O$7,$B1287&lt;'111'!$N$11),"x","")</f>
        <v>x</v>
      </c>
      <c r="Q1287" s="55" t="str">
        <f>IF(AND($M1287=$O$7,$B1287&lt;'111'!$N$11),"x","")</f>
        <v/>
      </c>
      <c r="R1287" s="55" t="str">
        <f>IF(ISERROR(FIND('112'!$M$9,G1287,1)),"",IF((AND(FIND('112'!$M$9,G1287,1)&gt;=1,$B1287&gt;='112'!$N$8,$B1287&lt;='112'!$O$8,OR($L1287='112'!$I$6,$M1287='112'!$I$6))),"x",""))</f>
        <v/>
      </c>
      <c r="S1287" s="55" t="str">
        <f>IF(ISERROR(FIND('112'!$M$9,G1287,1)),"",IF((AND(LEFT(G1287,2)=LEFT('112'!$M$9,2),B1287&lt;'112'!$N$8,$L1287='112'!$I$6)),"x",""))</f>
        <v/>
      </c>
      <c r="T1287" s="55" t="str">
        <f>IF(ISERROR(FIND('112'!$M$9,G1287,1)),"",IF((AND(RIGHT(G1287,2)=RIGHT('112'!$M$9,2),B1287&lt;'112'!$N$8,$M1287='112'!$I$6)),"x",""))</f>
        <v/>
      </c>
      <c r="U1287" s="55" t="str">
        <f>IF(AND('3411-CT'!$F$9=H1287,OR(LEFT(L1287,3)=$U$7,LEFT(M1287,3)=$U$7)),"x","")</f>
        <v/>
      </c>
      <c r="V1287" s="55" t="str">
        <f>IF(OR(TH!L1287=TH!$V$7,M1287=TH!$V$7),"x","")</f>
        <v/>
      </c>
      <c r="W1287" s="55" t="str">
        <f>IF(AND(OR(L1287="131",M1287="131"),H1287='131-CT'!$E$7),"x","")</f>
        <v/>
      </c>
      <c r="X1287" s="55" t="str">
        <f>IF(AND(B1287&gt;='IN-NX'!$P$3,B1287&lt;='IN-NX'!$Q$3,'IN-NX'!$D$7=D1287,OR(LEFT(TH!L1287,2)="15",LEFT(TH!M1287,2)="15")),"x","")</f>
        <v/>
      </c>
      <c r="Y1287" s="55" t="str">
        <f>IF(AND(OR(LEFT(TH!L1287,2)="15",LEFT(TH!M1287,2)="15"),'152-CT'!$J$8=TH!F1287),"x","")</f>
        <v/>
      </c>
      <c r="Z1287" s="55" t="str">
        <f>IF(AND(OR(LEFT(TH!L1287,2)="15",LEFT(TH!M1287,2)="15"),TK!$E$7=TH!F1287),"x","")</f>
        <v/>
      </c>
      <c r="AA1287" s="55" t="str">
        <f>IF(AND(B1287&lt;=NKC!$N$8,B1287&gt;=NKC!$M$8),"x","")</f>
        <v/>
      </c>
    </row>
    <row r="1288" spans="1:29" ht="15.75" customHeight="1">
      <c r="A1288" s="219" t="str">
        <f>IF(B1288&lt;&gt;"",IF(AND(B1288&gt;=_TM1,B1288&lt;=_TM2,OR(TH!L1288="1111",TH!M1288="1111")),TH!D1288,""),"")</f>
        <v/>
      </c>
      <c r="B1288" s="36">
        <f t="shared" si="57"/>
        <v>9</v>
      </c>
      <c r="C1288" s="205">
        <f t="shared" si="56"/>
        <v>41163</v>
      </c>
      <c r="D1288" s="205"/>
      <c r="E1288" s="205">
        <v>41163</v>
      </c>
      <c r="F1288" s="206" t="s">
        <v>1476</v>
      </c>
      <c r="G1288" s="581" t="s">
        <v>1475</v>
      </c>
      <c r="H1288" s="207" t="s">
        <v>1207</v>
      </c>
      <c r="I1288" s="277">
        <v>209</v>
      </c>
      <c r="J1288" s="277">
        <v>7268</v>
      </c>
      <c r="K1288" s="38">
        <f t="shared" si="55"/>
        <v>1519012</v>
      </c>
      <c r="L1288" s="208" t="s">
        <v>49</v>
      </c>
      <c r="M1288" s="208" t="s">
        <v>208</v>
      </c>
      <c r="N1288" s="55" t="str">
        <f>IF(AND('331-CT'!$E$7=TH!H1288,OR(L1288="331",M1288="331")),"x","")</f>
        <v/>
      </c>
      <c r="O1288" s="55" t="str">
        <f>IF(AND($B1288&gt;='111'!$N$11,$B1288&lt;='111'!$O$11,OR($L1288=$O$7,$M1288=$O$7)),"x","")</f>
        <v/>
      </c>
      <c r="P1288" s="55" t="str">
        <f>IF(AND($L1288=$O$7,$B1288&lt;'111'!$N$11),"x","")</f>
        <v>x</v>
      </c>
      <c r="Q1288" s="55" t="str">
        <f>IF(AND($M1288=$O$7,$B1288&lt;'111'!$N$11),"x","")</f>
        <v/>
      </c>
      <c r="R1288" s="55" t="str">
        <f>IF(ISERROR(FIND('112'!$M$9,G1288,1)),"",IF((AND(FIND('112'!$M$9,G1288,1)&gt;=1,$B1288&gt;='112'!$N$8,$B1288&lt;='112'!$O$8,OR($L1288='112'!$I$6,$M1288='112'!$I$6))),"x",""))</f>
        <v/>
      </c>
      <c r="S1288" s="55" t="str">
        <f>IF(ISERROR(FIND('112'!$M$9,G1288,1)),"",IF((AND(LEFT(G1288,2)=LEFT('112'!$M$9,2),B1288&lt;'112'!$N$8,$L1288='112'!$I$6)),"x",""))</f>
        <v/>
      </c>
      <c r="T1288" s="55" t="str">
        <f>IF(ISERROR(FIND('112'!$M$9,G1288,1)),"",IF((AND(RIGHT(G1288,2)=RIGHT('112'!$M$9,2),B1288&lt;'112'!$N$8,$M1288='112'!$I$6)),"x",""))</f>
        <v/>
      </c>
      <c r="U1288" s="55" t="str">
        <f>IF(AND('3411-CT'!$F$9=H1288,OR(LEFT(L1288,3)=$U$7,LEFT(M1288,3)=$U$7)),"x","")</f>
        <v/>
      </c>
      <c r="V1288" s="55" t="str">
        <f>IF(OR(TH!L1288=TH!$V$7,M1288=TH!$V$7),"x","")</f>
        <v/>
      </c>
      <c r="W1288" s="55" t="str">
        <f>IF(AND(OR(L1288="131",M1288="131"),H1288='131-CT'!$E$7),"x","")</f>
        <v/>
      </c>
      <c r="X1288" s="55" t="str">
        <f>IF(AND(B1288&gt;='IN-NX'!$P$3,B1288&lt;='IN-NX'!$Q$3,'IN-NX'!$D$7=D1288,OR(LEFT(TH!L1288,2)="15",LEFT(TH!M1288,2)="15")),"x","")</f>
        <v/>
      </c>
      <c r="Y1288" s="55" t="str">
        <f>IF(AND(OR(LEFT(TH!L1288,2)="15",LEFT(TH!M1288,2)="15"),'152-CT'!$J$8=TH!F1288),"x","")</f>
        <v/>
      </c>
      <c r="Z1288" s="55" t="str">
        <f>IF(AND(OR(LEFT(TH!L1288,2)="15",LEFT(TH!M1288,2)="15"),TK!$E$7=TH!F1288),"x","")</f>
        <v/>
      </c>
      <c r="AA1288" s="55" t="str">
        <f>IF(AND(B1288&lt;=NKC!$N$8,B1288&gt;=NKC!$M$8),"x","")</f>
        <v/>
      </c>
    </row>
    <row r="1289" spans="1:29" ht="15.75" customHeight="1">
      <c r="A1289" s="219" t="str">
        <f>IF(B1289&lt;&gt;"",IF(AND(B1289&gt;=_TM1,B1289&lt;=_TM2,OR(TH!L1289="1111",TH!M1289="1111")),TH!D1289,""),"")</f>
        <v/>
      </c>
      <c r="B1289" s="36">
        <f t="shared" si="57"/>
        <v>9</v>
      </c>
      <c r="C1289" s="205">
        <f t="shared" si="56"/>
        <v>41163</v>
      </c>
      <c r="D1289" s="205"/>
      <c r="E1289" s="205">
        <v>41163</v>
      </c>
      <c r="F1289" s="206" t="s">
        <v>1477</v>
      </c>
      <c r="G1289" s="581" t="s">
        <v>1475</v>
      </c>
      <c r="H1289" s="207" t="s">
        <v>1207</v>
      </c>
      <c r="I1289" s="277">
        <v>104</v>
      </c>
      <c r="J1289" s="277">
        <v>5170</v>
      </c>
      <c r="K1289" s="38">
        <f t="shared" si="55"/>
        <v>537680</v>
      </c>
      <c r="L1289" s="208" t="s">
        <v>49</v>
      </c>
      <c r="M1289" s="208" t="s">
        <v>208</v>
      </c>
      <c r="N1289" s="55" t="str">
        <f>IF(AND('331-CT'!$E$7=TH!H1289,OR(L1289="331",M1289="331")),"x","")</f>
        <v/>
      </c>
      <c r="O1289" s="55" t="str">
        <f>IF(AND($B1289&gt;='111'!$N$11,$B1289&lt;='111'!$O$11,OR($L1289=$O$7,$M1289=$O$7)),"x","")</f>
        <v/>
      </c>
      <c r="P1289" s="55" t="str">
        <f>IF(AND($L1289=$O$7,$B1289&lt;'111'!$N$11),"x","")</f>
        <v>x</v>
      </c>
      <c r="Q1289" s="55" t="str">
        <f>IF(AND($M1289=$O$7,$B1289&lt;'111'!$N$11),"x","")</f>
        <v/>
      </c>
      <c r="R1289" s="55" t="str">
        <f>IF(ISERROR(FIND('112'!$M$9,G1289,1)),"",IF((AND(FIND('112'!$M$9,G1289,1)&gt;=1,$B1289&gt;='112'!$N$8,$B1289&lt;='112'!$O$8,OR($L1289='112'!$I$6,$M1289='112'!$I$6))),"x",""))</f>
        <v/>
      </c>
      <c r="S1289" s="55" t="str">
        <f>IF(ISERROR(FIND('112'!$M$9,G1289,1)),"",IF((AND(LEFT(G1289,2)=LEFT('112'!$M$9,2),B1289&lt;'112'!$N$8,$L1289='112'!$I$6)),"x",""))</f>
        <v/>
      </c>
      <c r="T1289" s="55" t="str">
        <f>IF(ISERROR(FIND('112'!$M$9,G1289,1)),"",IF((AND(RIGHT(G1289,2)=RIGHT('112'!$M$9,2),B1289&lt;'112'!$N$8,$M1289='112'!$I$6)),"x",""))</f>
        <v/>
      </c>
      <c r="U1289" s="55" t="str">
        <f>IF(AND('3411-CT'!$F$9=H1289,OR(LEFT(L1289,3)=$U$7,LEFT(M1289,3)=$U$7)),"x","")</f>
        <v/>
      </c>
      <c r="V1289" s="55" t="str">
        <f>IF(OR(TH!L1289=TH!$V$7,M1289=TH!$V$7),"x","")</f>
        <v/>
      </c>
      <c r="W1289" s="55" t="str">
        <f>IF(AND(OR(L1289="131",M1289="131"),H1289='131-CT'!$E$7),"x","")</f>
        <v/>
      </c>
      <c r="X1289" s="55" t="str">
        <f>IF(AND(B1289&gt;='IN-NX'!$P$3,B1289&lt;='IN-NX'!$Q$3,'IN-NX'!$D$7=D1289,OR(LEFT(TH!L1289,2)="15",LEFT(TH!M1289,2)="15")),"x","")</f>
        <v/>
      </c>
      <c r="Y1289" s="55" t="str">
        <f>IF(AND(OR(LEFT(TH!L1289,2)="15",LEFT(TH!M1289,2)="15"),'152-CT'!$J$8=TH!F1289),"x","")</f>
        <v/>
      </c>
      <c r="Z1289" s="55" t="str">
        <f>IF(AND(OR(LEFT(TH!L1289,2)="15",LEFT(TH!M1289,2)="15"),TK!$E$7=TH!F1289),"x","")</f>
        <v/>
      </c>
      <c r="AA1289" s="55" t="str">
        <f>IF(AND(B1289&lt;=NKC!$N$8,B1289&gt;=NKC!$M$8),"x","")</f>
        <v/>
      </c>
    </row>
    <row r="1290" spans="1:29" ht="15.75" customHeight="1">
      <c r="A1290" s="219" t="str">
        <f>IF(B1290&lt;&gt;"",IF(AND(B1290&gt;=_TM1,B1290&lt;=_TM2,OR(TH!L1290="1111",TH!M1290="1111")),TH!D1290,""),"")</f>
        <v/>
      </c>
      <c r="B1290" s="36">
        <f t="shared" si="57"/>
        <v>9</v>
      </c>
      <c r="C1290" s="205">
        <f t="shared" si="56"/>
        <v>41163</v>
      </c>
      <c r="D1290" s="205"/>
      <c r="E1290" s="205">
        <v>41163</v>
      </c>
      <c r="F1290" s="206" t="s">
        <v>1242</v>
      </c>
      <c r="G1290" s="581" t="s">
        <v>1475</v>
      </c>
      <c r="H1290" s="207" t="s">
        <v>1207</v>
      </c>
      <c r="I1290" s="277">
        <v>2000</v>
      </c>
      <c r="J1290" s="277">
        <v>655</v>
      </c>
      <c r="K1290" s="38">
        <f t="shared" si="55"/>
        <v>1310000</v>
      </c>
      <c r="L1290" s="208" t="s">
        <v>49</v>
      </c>
      <c r="M1290" s="208" t="s">
        <v>208</v>
      </c>
      <c r="N1290" s="55" t="str">
        <f>IF(AND('331-CT'!$E$7=TH!H1290,OR(L1290="331",M1290="331")),"x","")</f>
        <v/>
      </c>
      <c r="O1290" s="55" t="str">
        <f>IF(AND($B1290&gt;='111'!$N$11,$B1290&lt;='111'!$O$11,OR($L1290=$O$7,$M1290=$O$7)),"x","")</f>
        <v/>
      </c>
      <c r="P1290" s="55" t="str">
        <f>IF(AND($L1290=$O$7,$B1290&lt;'111'!$N$11),"x","")</f>
        <v>x</v>
      </c>
      <c r="Q1290" s="55" t="str">
        <f>IF(AND($M1290=$O$7,$B1290&lt;'111'!$N$11),"x","")</f>
        <v/>
      </c>
      <c r="R1290" s="55" t="str">
        <f>IF(ISERROR(FIND('112'!$M$9,G1290,1)),"",IF((AND(FIND('112'!$M$9,G1290,1)&gt;=1,$B1290&gt;='112'!$N$8,$B1290&lt;='112'!$O$8,OR($L1290='112'!$I$6,$M1290='112'!$I$6))),"x",""))</f>
        <v/>
      </c>
      <c r="S1290" s="55" t="str">
        <f>IF(ISERROR(FIND('112'!$M$9,G1290,1)),"",IF((AND(LEFT(G1290,2)=LEFT('112'!$M$9,2),B1290&lt;'112'!$N$8,$L1290='112'!$I$6)),"x",""))</f>
        <v/>
      </c>
      <c r="T1290" s="55" t="str">
        <f>IF(ISERROR(FIND('112'!$M$9,G1290,1)),"",IF((AND(RIGHT(G1290,2)=RIGHT('112'!$M$9,2),B1290&lt;'112'!$N$8,$M1290='112'!$I$6)),"x",""))</f>
        <v/>
      </c>
      <c r="U1290" s="55" t="str">
        <f>IF(AND('3411-CT'!$F$9=H1290,OR(LEFT(L1290,3)=$U$7,LEFT(M1290,3)=$U$7)),"x","")</f>
        <v/>
      </c>
      <c r="V1290" s="55" t="str">
        <f>IF(OR(TH!L1290=TH!$V$7,M1290=TH!$V$7),"x","")</f>
        <v/>
      </c>
      <c r="W1290" s="55" t="str">
        <f>IF(AND(OR(L1290="131",M1290="131"),H1290='131-CT'!$E$7),"x","")</f>
        <v/>
      </c>
      <c r="X1290" s="55" t="str">
        <f>IF(AND(B1290&gt;='IN-NX'!$P$3,B1290&lt;='IN-NX'!$Q$3,'IN-NX'!$D$7=D1290,OR(LEFT(TH!L1290,2)="15",LEFT(TH!M1290,2)="15")),"x","")</f>
        <v/>
      </c>
      <c r="Y1290" s="55" t="str">
        <f>IF(AND(OR(LEFT(TH!L1290,2)="15",LEFT(TH!M1290,2)="15"),'152-CT'!$J$8=TH!F1290),"x","")</f>
        <v/>
      </c>
      <c r="Z1290" s="55" t="str">
        <f>IF(AND(OR(LEFT(TH!L1290,2)="15",LEFT(TH!M1290,2)="15"),TK!$E$7=TH!F1290),"x","")</f>
        <v/>
      </c>
      <c r="AA1290" s="55" t="str">
        <f>IF(AND(B1290&lt;=NKC!$N$8,B1290&gt;=NKC!$M$8),"x","")</f>
        <v/>
      </c>
    </row>
    <row r="1291" spans="1:29" ht="15.75" customHeight="1">
      <c r="A1291" s="219" t="str">
        <f>IF(B1291&lt;&gt;"",IF(AND(B1291&gt;=_TM1,B1291&lt;=_TM2,OR(TH!L1291="1111",TH!M1291="1111")),TH!D1291,""),"")</f>
        <v/>
      </c>
      <c r="B1291" s="36">
        <f t="shared" si="57"/>
        <v>9</v>
      </c>
      <c r="C1291" s="205">
        <f t="shared" si="56"/>
        <v>41163</v>
      </c>
      <c r="D1291" s="205"/>
      <c r="E1291" s="205">
        <v>41163</v>
      </c>
      <c r="F1291" s="206" t="s">
        <v>1229</v>
      </c>
      <c r="G1291" s="581" t="s">
        <v>1475</v>
      </c>
      <c r="H1291" s="207" t="s">
        <v>1207</v>
      </c>
      <c r="I1291" s="277">
        <v>400</v>
      </c>
      <c r="J1291" s="277">
        <v>550</v>
      </c>
      <c r="K1291" s="38">
        <f t="shared" si="55"/>
        <v>220000</v>
      </c>
      <c r="L1291" s="208" t="s">
        <v>49</v>
      </c>
      <c r="M1291" s="208" t="s">
        <v>208</v>
      </c>
      <c r="N1291" s="55" t="str">
        <f>IF(AND('331-CT'!$E$7=TH!H1291,OR(L1291="331",M1291="331")),"x","")</f>
        <v/>
      </c>
      <c r="O1291" s="55" t="str">
        <f>IF(AND($B1291&gt;='111'!$N$11,$B1291&lt;='111'!$O$11,OR($L1291=$O$7,$M1291=$O$7)),"x","")</f>
        <v/>
      </c>
      <c r="P1291" s="55" t="str">
        <f>IF(AND($L1291=$O$7,$B1291&lt;'111'!$N$11),"x","")</f>
        <v>x</v>
      </c>
      <c r="Q1291" s="55" t="str">
        <f>IF(AND($M1291=$O$7,$B1291&lt;'111'!$N$11),"x","")</f>
        <v/>
      </c>
      <c r="R1291" s="55" t="str">
        <f>IF(ISERROR(FIND('112'!$M$9,G1291,1)),"",IF((AND(FIND('112'!$M$9,G1291,1)&gt;=1,$B1291&gt;='112'!$N$8,$B1291&lt;='112'!$O$8,OR($L1291='112'!$I$6,$M1291='112'!$I$6))),"x",""))</f>
        <v/>
      </c>
      <c r="S1291" s="55" t="str">
        <f>IF(ISERROR(FIND('112'!$M$9,G1291,1)),"",IF((AND(LEFT(G1291,2)=LEFT('112'!$M$9,2),B1291&lt;'112'!$N$8,$L1291='112'!$I$6)),"x",""))</f>
        <v/>
      </c>
      <c r="T1291" s="55" t="str">
        <f>IF(ISERROR(FIND('112'!$M$9,G1291,1)),"",IF((AND(RIGHT(G1291,2)=RIGHT('112'!$M$9,2),B1291&lt;'112'!$N$8,$M1291='112'!$I$6)),"x",""))</f>
        <v/>
      </c>
      <c r="U1291" s="55" t="str">
        <f>IF(AND('3411-CT'!$F$9=H1291,OR(LEFT(L1291,3)=$U$7,LEFT(M1291,3)=$U$7)),"x","")</f>
        <v/>
      </c>
      <c r="V1291" s="55" t="str">
        <f>IF(OR(TH!L1291=TH!$V$7,M1291=TH!$V$7),"x","")</f>
        <v/>
      </c>
      <c r="W1291" s="55" t="str">
        <f>IF(AND(OR(L1291="131",M1291="131"),H1291='131-CT'!$E$7),"x","")</f>
        <v/>
      </c>
      <c r="X1291" s="55" t="str">
        <f>IF(AND(B1291&gt;='IN-NX'!$P$3,B1291&lt;='IN-NX'!$Q$3,'IN-NX'!$D$7=D1291,OR(LEFT(TH!L1291,2)="15",LEFT(TH!M1291,2)="15")),"x","")</f>
        <v/>
      </c>
      <c r="Y1291" s="55" t="str">
        <f>IF(AND(OR(LEFT(TH!L1291,2)="15",LEFT(TH!M1291,2)="15"),'152-CT'!$J$8=TH!F1291),"x","")</f>
        <v/>
      </c>
      <c r="Z1291" s="55" t="str">
        <f>IF(AND(OR(LEFT(TH!L1291,2)="15",LEFT(TH!M1291,2)="15"),TK!$E$7=TH!F1291),"x","")</f>
        <v/>
      </c>
      <c r="AA1291" s="55" t="str">
        <f>IF(AND(B1291&lt;=NKC!$N$8,B1291&gt;=NKC!$M$8),"x","")</f>
        <v/>
      </c>
    </row>
    <row r="1292" spans="1:29" ht="15.75" customHeight="1">
      <c r="A1292" s="219" t="str">
        <f>IF(B1292&lt;&gt;"",IF(AND(B1292&gt;=_TM1,B1292&lt;=_TM2,OR(TH!L1292="1111",TH!M1292="1111")),TH!D1292,""),"")</f>
        <v/>
      </c>
      <c r="B1292" s="36">
        <f t="shared" si="57"/>
        <v>9</v>
      </c>
      <c r="C1292" s="205">
        <f t="shared" si="56"/>
        <v>41163</v>
      </c>
      <c r="D1292" s="205"/>
      <c r="E1292" s="205">
        <v>41163</v>
      </c>
      <c r="F1292" s="206" t="s">
        <v>1185</v>
      </c>
      <c r="G1292" s="581" t="s">
        <v>1475</v>
      </c>
      <c r="H1292" s="207" t="s">
        <v>1207</v>
      </c>
      <c r="I1292" s="277"/>
      <c r="J1292" s="277"/>
      <c r="K1292" s="38">
        <v>786909</v>
      </c>
      <c r="L1292" s="208" t="s">
        <v>49</v>
      </c>
      <c r="M1292" s="208" t="s">
        <v>549</v>
      </c>
      <c r="N1292" s="55" t="str">
        <f>IF(AND('331-CT'!$E$7=TH!H1292,OR(L1292="331",M1292="331")),"x","")</f>
        <v/>
      </c>
      <c r="O1292" s="55" t="str">
        <f>IF(AND($B1292&gt;='111'!$N$11,$B1292&lt;='111'!$O$11,OR($L1292=$O$7,$M1292=$O$7)),"x","")</f>
        <v/>
      </c>
      <c r="P1292" s="55" t="str">
        <f>IF(AND($L1292=$O$7,$B1292&lt;'111'!$N$11),"x","")</f>
        <v>x</v>
      </c>
      <c r="Q1292" s="55" t="str">
        <f>IF(AND($M1292=$O$7,$B1292&lt;'111'!$N$11),"x","")</f>
        <v/>
      </c>
      <c r="R1292" s="55" t="str">
        <f>IF(ISERROR(FIND('112'!$M$9,G1292,1)),"",IF((AND(FIND('112'!$M$9,G1292,1)&gt;=1,$B1292&gt;='112'!$N$8,$B1292&lt;='112'!$O$8,OR($L1292='112'!$I$6,$M1292='112'!$I$6))),"x",""))</f>
        <v/>
      </c>
      <c r="S1292" s="55" t="str">
        <f>IF(ISERROR(FIND('112'!$M$9,G1292,1)),"",IF((AND(LEFT(G1292,2)=LEFT('112'!$M$9,2),B1292&lt;'112'!$N$8,$L1292='112'!$I$6)),"x",""))</f>
        <v/>
      </c>
      <c r="T1292" s="55" t="str">
        <f>IF(ISERROR(FIND('112'!$M$9,G1292,1)),"",IF((AND(RIGHT(G1292,2)=RIGHT('112'!$M$9,2),B1292&lt;'112'!$N$8,$M1292='112'!$I$6)),"x",""))</f>
        <v/>
      </c>
      <c r="U1292" s="55" t="str">
        <f>IF(AND('3411-CT'!$F$9=H1292,OR(LEFT(L1292,3)=$U$7,LEFT(M1292,3)=$U$7)),"x","")</f>
        <v/>
      </c>
      <c r="V1292" s="55" t="str">
        <f>IF(OR(TH!L1292=TH!$V$7,M1292=TH!$V$7),"x","")</f>
        <v/>
      </c>
      <c r="W1292" s="55" t="str">
        <f>IF(AND(OR(L1292="131",M1292="131"),H1292='131-CT'!$E$7),"x","")</f>
        <v/>
      </c>
      <c r="X1292" s="55" t="str">
        <f>IF(AND(B1292&gt;='IN-NX'!$P$3,B1292&lt;='IN-NX'!$Q$3,'IN-NX'!$D$7=D1292,OR(LEFT(TH!L1292,2)="15",LEFT(TH!M1292,2)="15")),"x","")</f>
        <v/>
      </c>
      <c r="Y1292" s="55" t="str">
        <f>IF(AND(OR(LEFT(TH!L1292,2)="15",LEFT(TH!M1292,2)="15"),'152-CT'!$J$8=TH!F1292),"x","")</f>
        <v/>
      </c>
      <c r="Z1292" s="55" t="str">
        <f>IF(AND(OR(LEFT(TH!L1292,2)="15",LEFT(TH!M1292,2)="15"),TK!$E$7=TH!F1292),"x","")</f>
        <v/>
      </c>
      <c r="AA1292" s="55" t="str">
        <f>IF(AND(B1292&lt;=NKC!$N$8,B1292&gt;=NKC!$M$8),"x","")</f>
        <v/>
      </c>
      <c r="AC1292" s="226"/>
    </row>
    <row r="1293" spans="1:29" ht="15.75" customHeight="1">
      <c r="A1293" s="219" t="str">
        <f>IF(B1293&lt;&gt;"",IF(AND(B1293&gt;=_TM1,B1293&lt;=_TM2,OR(TH!L1293="1111",TH!M1293="1111")),TH!D1293,""),"")</f>
        <v/>
      </c>
      <c r="B1293" s="36">
        <f t="shared" si="57"/>
        <v>9</v>
      </c>
      <c r="C1293" s="205">
        <f t="shared" si="56"/>
        <v>41169</v>
      </c>
      <c r="D1293" s="205"/>
      <c r="E1293" s="205">
        <v>41169</v>
      </c>
      <c r="F1293" s="206" t="s">
        <v>1254</v>
      </c>
      <c r="G1293" s="581" t="s">
        <v>1478</v>
      </c>
      <c r="H1293" s="207" t="s">
        <v>1256</v>
      </c>
      <c r="I1293" s="277">
        <v>515</v>
      </c>
      <c r="J1293" s="277">
        <v>8000</v>
      </c>
      <c r="K1293" s="38">
        <f t="shared" si="55"/>
        <v>4120000</v>
      </c>
      <c r="L1293" s="208" t="s">
        <v>49</v>
      </c>
      <c r="M1293" s="208" t="s">
        <v>208</v>
      </c>
      <c r="N1293" s="55" t="str">
        <f>IF(AND('331-CT'!$E$7=TH!H1293,OR(L1293="331",M1293="331")),"x","")</f>
        <v/>
      </c>
      <c r="O1293" s="55" t="str">
        <f>IF(AND($B1293&gt;='111'!$N$11,$B1293&lt;='111'!$O$11,OR($L1293=$O$7,$M1293=$O$7)),"x","")</f>
        <v/>
      </c>
      <c r="P1293" s="55" t="str">
        <f>IF(AND($L1293=$O$7,$B1293&lt;'111'!$N$11),"x","")</f>
        <v>x</v>
      </c>
      <c r="Q1293" s="55" t="str">
        <f>IF(AND($M1293=$O$7,$B1293&lt;'111'!$N$11),"x","")</f>
        <v/>
      </c>
      <c r="R1293" s="55" t="str">
        <f>IF(ISERROR(FIND('112'!$M$9,G1293,1)),"",IF((AND(FIND('112'!$M$9,G1293,1)&gt;=1,$B1293&gt;='112'!$N$8,$B1293&lt;='112'!$O$8,OR($L1293='112'!$I$6,$M1293='112'!$I$6))),"x",""))</f>
        <v/>
      </c>
      <c r="S1293" s="55" t="str">
        <f>IF(ISERROR(FIND('112'!$M$9,G1293,1)),"",IF((AND(LEFT(G1293,2)=LEFT('112'!$M$9,2),B1293&lt;'112'!$N$8,$L1293='112'!$I$6)),"x",""))</f>
        <v/>
      </c>
      <c r="T1293" s="55" t="str">
        <f>IF(ISERROR(FIND('112'!$M$9,G1293,1)),"",IF((AND(RIGHT(G1293,2)=RIGHT('112'!$M$9,2),B1293&lt;'112'!$N$8,$M1293='112'!$I$6)),"x",""))</f>
        <v/>
      </c>
      <c r="U1293" s="55" t="str">
        <f>IF(AND('3411-CT'!$F$9=H1293,OR(LEFT(L1293,3)=$U$7,LEFT(M1293,3)=$U$7)),"x","")</f>
        <v/>
      </c>
      <c r="V1293" s="55" t="str">
        <f>IF(OR(TH!L1293=TH!$V$7,M1293=TH!$V$7),"x","")</f>
        <v/>
      </c>
      <c r="W1293" s="55" t="str">
        <f>IF(AND(OR(L1293="131",M1293="131"),H1293='131-CT'!$E$7),"x","")</f>
        <v/>
      </c>
      <c r="X1293" s="55" t="str">
        <f>IF(AND(B1293&gt;='IN-NX'!$P$3,B1293&lt;='IN-NX'!$Q$3,'IN-NX'!$D$7=D1293,OR(LEFT(TH!L1293,2)="15",LEFT(TH!M1293,2)="15")),"x","")</f>
        <v/>
      </c>
      <c r="Y1293" s="55" t="str">
        <f>IF(AND(OR(LEFT(TH!L1293,2)="15",LEFT(TH!M1293,2)="15"),'152-CT'!$J$8=TH!F1293),"x","")</f>
        <v/>
      </c>
      <c r="Z1293" s="55" t="str">
        <f>IF(AND(OR(LEFT(TH!L1293,2)="15",LEFT(TH!M1293,2)="15"),TK!$E$7=TH!F1293),"x","")</f>
        <v/>
      </c>
      <c r="AA1293" s="55" t="str">
        <f>IF(AND(B1293&lt;=NKC!$N$8,B1293&gt;=NKC!$M$8),"x","")</f>
        <v/>
      </c>
    </row>
    <row r="1294" spans="1:29" s="226" customFormat="1" ht="15.75" customHeight="1">
      <c r="A1294" s="219" t="str">
        <f>IF(B1294&lt;&gt;"",IF(AND(B1294&gt;=_TM1,B1294&lt;=_TM2,OR(TH!L1294="1111",TH!M1294="1111")),TH!D1294,""),"")</f>
        <v/>
      </c>
      <c r="B1294" s="36">
        <f t="shared" si="57"/>
        <v>9</v>
      </c>
      <c r="C1294" s="205">
        <f t="shared" si="56"/>
        <v>41169</v>
      </c>
      <c r="D1294" s="205"/>
      <c r="E1294" s="205">
        <v>41169</v>
      </c>
      <c r="F1294" s="206" t="s">
        <v>1367</v>
      </c>
      <c r="G1294" s="581" t="s">
        <v>1478</v>
      </c>
      <c r="H1294" s="207" t="s">
        <v>1256</v>
      </c>
      <c r="I1294" s="277">
        <v>590</v>
      </c>
      <c r="J1294" s="277">
        <v>8000</v>
      </c>
      <c r="K1294" s="38">
        <f t="shared" si="55"/>
        <v>4720000</v>
      </c>
      <c r="L1294" s="208" t="s">
        <v>49</v>
      </c>
      <c r="M1294" s="208" t="s">
        <v>208</v>
      </c>
      <c r="N1294" s="55" t="str">
        <f>IF(AND('331-CT'!$E$7=TH!H1294,OR(L1294="331",M1294="331")),"x","")</f>
        <v/>
      </c>
      <c r="O1294" s="55" t="str">
        <f>IF(AND($B1294&gt;='111'!$N$11,$B1294&lt;='111'!$O$11,OR($L1294=$O$7,$M1294=$O$7)),"x","")</f>
        <v/>
      </c>
      <c r="P1294" s="55" t="str">
        <f>IF(AND($L1294=$O$7,$B1294&lt;'111'!$N$11),"x","")</f>
        <v>x</v>
      </c>
      <c r="Q1294" s="55" t="str">
        <f>IF(AND($M1294=$O$7,$B1294&lt;'111'!$N$11),"x","")</f>
        <v/>
      </c>
      <c r="R1294" s="55" t="str">
        <f>IF(ISERROR(FIND('112'!$M$9,G1294,1)),"",IF((AND(FIND('112'!$M$9,G1294,1)&gt;=1,$B1294&gt;='112'!$N$8,$B1294&lt;='112'!$O$8,OR($L1294='112'!$I$6,$M1294='112'!$I$6))),"x",""))</f>
        <v/>
      </c>
      <c r="S1294" s="55" t="str">
        <f>IF(ISERROR(FIND('112'!$M$9,G1294,1)),"",IF((AND(LEFT(G1294,2)=LEFT('112'!$M$9,2),B1294&lt;'112'!$N$8,$L1294='112'!$I$6)),"x",""))</f>
        <v/>
      </c>
      <c r="T1294" s="55" t="str">
        <f>IF(ISERROR(FIND('112'!$M$9,G1294,1)),"",IF((AND(RIGHT(G1294,2)=RIGHT('112'!$M$9,2),B1294&lt;'112'!$N$8,$M1294='112'!$I$6)),"x",""))</f>
        <v/>
      </c>
      <c r="U1294" s="55" t="str">
        <f>IF(AND('3411-CT'!$F$9=H1294,OR(LEFT(L1294,3)=$U$7,LEFT(M1294,3)=$U$7)),"x","")</f>
        <v/>
      </c>
      <c r="V1294" s="55" t="str">
        <f>IF(OR(TH!L1294=TH!$V$7,M1294=TH!$V$7),"x","")</f>
        <v/>
      </c>
      <c r="W1294" s="55" t="str">
        <f>IF(AND(OR(L1294="131",M1294="131"),H1294='131-CT'!$E$7),"x","")</f>
        <v/>
      </c>
      <c r="X1294" s="55" t="str">
        <f>IF(AND(B1294&gt;='IN-NX'!$P$3,B1294&lt;='IN-NX'!$Q$3,'IN-NX'!$D$7=D1294,OR(LEFT(TH!L1294,2)="15",LEFT(TH!M1294,2)="15")),"x","")</f>
        <v/>
      </c>
      <c r="Y1294" s="55" t="str">
        <f>IF(AND(OR(LEFT(TH!L1294,2)="15",LEFT(TH!M1294,2)="15"),'152-CT'!$J$8=TH!F1294),"x","")</f>
        <v/>
      </c>
      <c r="Z1294" s="55" t="str">
        <f>IF(AND(OR(LEFT(TH!L1294,2)="15",LEFT(TH!M1294,2)="15"),TK!$E$7=TH!F1294),"x","")</f>
        <v/>
      </c>
      <c r="AA1294" s="55" t="str">
        <f>IF(AND(B1294&lt;=NKC!$N$8,B1294&gt;=NKC!$M$8),"x","")</f>
        <v/>
      </c>
    </row>
    <row r="1295" spans="1:29" s="226" customFormat="1" ht="15.75" customHeight="1">
      <c r="A1295" s="219" t="str">
        <f>IF(B1295&lt;&gt;"",IF(AND(B1295&gt;=_TM1,B1295&lt;=_TM2,OR(TH!L1295="1111",TH!M1295="1111")),TH!D1295,""),"")</f>
        <v/>
      </c>
      <c r="B1295" s="36">
        <f t="shared" si="57"/>
        <v>9</v>
      </c>
      <c r="C1295" s="205">
        <f t="shared" si="56"/>
        <v>41169</v>
      </c>
      <c r="D1295" s="205"/>
      <c r="E1295" s="205">
        <v>41169</v>
      </c>
      <c r="F1295" s="206" t="s">
        <v>1185</v>
      </c>
      <c r="G1295" s="581" t="s">
        <v>1478</v>
      </c>
      <c r="H1295" s="207" t="s">
        <v>1256</v>
      </c>
      <c r="I1295" s="277"/>
      <c r="J1295" s="277"/>
      <c r="K1295" s="38">
        <v>884000</v>
      </c>
      <c r="L1295" s="208" t="s">
        <v>49</v>
      </c>
      <c r="M1295" s="208" t="s">
        <v>549</v>
      </c>
      <c r="N1295" s="55" t="str">
        <f>IF(AND('331-CT'!$E$7=TH!H1295,OR(L1295="331",M1295="331")),"x","")</f>
        <v/>
      </c>
      <c r="O1295" s="55" t="str">
        <f>IF(AND($B1295&gt;='111'!$N$11,$B1295&lt;='111'!$O$11,OR($L1295=$O$7,$M1295=$O$7)),"x","")</f>
        <v/>
      </c>
      <c r="P1295" s="55" t="str">
        <f>IF(AND($L1295=$O$7,$B1295&lt;'111'!$N$11),"x","")</f>
        <v>x</v>
      </c>
      <c r="Q1295" s="55" t="str">
        <f>IF(AND($M1295=$O$7,$B1295&lt;'111'!$N$11),"x","")</f>
        <v/>
      </c>
      <c r="R1295" s="55" t="str">
        <f>IF(ISERROR(FIND('112'!$M$9,G1295,1)),"",IF((AND(FIND('112'!$M$9,G1295,1)&gt;=1,$B1295&gt;='112'!$N$8,$B1295&lt;='112'!$O$8,OR($L1295='112'!$I$6,$M1295='112'!$I$6))),"x",""))</f>
        <v/>
      </c>
      <c r="S1295" s="55" t="str">
        <f>IF(ISERROR(FIND('112'!$M$9,G1295,1)),"",IF((AND(LEFT(G1295,2)=LEFT('112'!$M$9,2),B1295&lt;'112'!$N$8,$L1295='112'!$I$6)),"x",""))</f>
        <v/>
      </c>
      <c r="T1295" s="55" t="str">
        <f>IF(ISERROR(FIND('112'!$M$9,G1295,1)),"",IF((AND(RIGHT(G1295,2)=RIGHT('112'!$M$9,2),B1295&lt;'112'!$N$8,$M1295='112'!$I$6)),"x",""))</f>
        <v/>
      </c>
      <c r="U1295" s="55" t="str">
        <f>IF(AND('3411-CT'!$F$9=H1295,OR(LEFT(L1295,3)=$U$7,LEFT(M1295,3)=$U$7)),"x","")</f>
        <v/>
      </c>
      <c r="V1295" s="55" t="str">
        <f>IF(OR(TH!L1295=TH!$V$7,M1295=TH!$V$7),"x","")</f>
        <v/>
      </c>
      <c r="W1295" s="55" t="str">
        <f>IF(AND(OR(L1295="131",M1295="131"),H1295='131-CT'!$E$7),"x","")</f>
        <v/>
      </c>
      <c r="X1295" s="55" t="str">
        <f>IF(AND(B1295&gt;='IN-NX'!$P$3,B1295&lt;='IN-NX'!$Q$3,'IN-NX'!$D$7=D1295,OR(LEFT(TH!L1295,2)="15",LEFT(TH!M1295,2)="15")),"x","")</f>
        <v/>
      </c>
      <c r="Y1295" s="55" t="str">
        <f>IF(AND(OR(LEFT(TH!L1295,2)="15",LEFT(TH!M1295,2)="15"),'152-CT'!$J$8=TH!F1295),"x","")</f>
        <v/>
      </c>
      <c r="Z1295" s="55" t="str">
        <f>IF(AND(OR(LEFT(TH!L1295,2)="15",LEFT(TH!M1295,2)="15"),TK!$E$7=TH!F1295),"x","")</f>
        <v/>
      </c>
      <c r="AA1295" s="55" t="str">
        <f>IF(AND(B1295&lt;=NKC!$N$8,B1295&gt;=NKC!$M$8),"x","")</f>
        <v/>
      </c>
    </row>
    <row r="1296" spans="1:29" s="226" customFormat="1" ht="15.75" customHeight="1">
      <c r="A1296" s="219" t="str">
        <f>IF(B1296&lt;&gt;"",IF(AND(B1296&gt;=_TM1,B1296&lt;=_TM2,OR(TH!L1296="1111",TH!M1296="1111")),TH!D1296,""),"")</f>
        <v/>
      </c>
      <c r="B1296" s="36">
        <f t="shared" si="57"/>
        <v>10</v>
      </c>
      <c r="C1296" s="205">
        <f t="shared" si="56"/>
        <v>41183</v>
      </c>
      <c r="D1296" s="205"/>
      <c r="E1296" s="205">
        <v>41183</v>
      </c>
      <c r="F1296" s="206" t="s">
        <v>1402</v>
      </c>
      <c r="G1296" s="581" t="s">
        <v>1479</v>
      </c>
      <c r="H1296" s="207" t="s">
        <v>1148</v>
      </c>
      <c r="I1296" s="277">
        <v>508</v>
      </c>
      <c r="J1296" s="277">
        <v>11020</v>
      </c>
      <c r="K1296" s="38">
        <f t="shared" si="55"/>
        <v>5598160</v>
      </c>
      <c r="L1296" s="208" t="s">
        <v>311</v>
      </c>
      <c r="M1296" s="208" t="s">
        <v>208</v>
      </c>
      <c r="N1296" s="55" t="str">
        <f>IF(AND('331-CT'!$E$7=TH!H1296,OR(L1296="331",M1296="331")),"x","")</f>
        <v/>
      </c>
      <c r="O1296" s="55" t="str">
        <f>IF(AND($B1296&gt;='111'!$N$11,$B1296&lt;='111'!$O$11,OR($L1296=$O$7,$M1296=$O$7)),"x","")</f>
        <v/>
      </c>
      <c r="P1296" s="55" t="str">
        <f>IF(AND($L1296=$O$7,$B1296&lt;'111'!$N$11),"x","")</f>
        <v/>
      </c>
      <c r="Q1296" s="55" t="str">
        <f>IF(AND($M1296=$O$7,$B1296&lt;'111'!$N$11),"x","")</f>
        <v/>
      </c>
      <c r="R1296" s="55" t="str">
        <f>IF(ISERROR(FIND('112'!$M$9,G1296,1)),"",IF((AND(FIND('112'!$M$9,G1296,1)&gt;=1,$B1296&gt;='112'!$N$8,$B1296&lt;='112'!$O$8,OR($L1296='112'!$I$6,$M1296='112'!$I$6))),"x",""))</f>
        <v/>
      </c>
      <c r="S1296" s="55" t="str">
        <f>IF(ISERROR(FIND('112'!$M$9,G1296,1)),"",IF((AND(LEFT(G1296,2)=LEFT('112'!$M$9,2),B1296&lt;'112'!$N$8,$L1296='112'!$I$6)),"x",""))</f>
        <v/>
      </c>
      <c r="T1296" s="55" t="str">
        <f>IF(ISERROR(FIND('112'!$M$9,G1296,1)),"",IF((AND(RIGHT(G1296,2)=RIGHT('112'!$M$9,2),B1296&lt;'112'!$N$8,$M1296='112'!$I$6)),"x",""))</f>
        <v/>
      </c>
      <c r="U1296" s="55" t="str">
        <f>IF(AND('3411-CT'!$F$9=H1296,OR(LEFT(L1296,3)=$U$7,LEFT(M1296,3)=$U$7)),"x","")</f>
        <v/>
      </c>
      <c r="V1296" s="55" t="str">
        <f>IF(OR(TH!L1296=TH!$V$7,M1296=TH!$V$7),"x","")</f>
        <v/>
      </c>
      <c r="W1296" s="55" t="str">
        <f>IF(AND(OR(L1296="131",M1296="131"),H1296='131-CT'!$E$7),"x","")</f>
        <v/>
      </c>
      <c r="X1296" s="55" t="str">
        <f>IF(AND(B1296&gt;='IN-NX'!$P$3,B1296&lt;='IN-NX'!$Q$3,'IN-NX'!$D$7=D1296,OR(LEFT(TH!L1296,2)="15",LEFT(TH!M1296,2)="15")),"x","")</f>
        <v/>
      </c>
      <c r="Y1296" s="55" t="str">
        <f>IF(AND(OR(LEFT(TH!L1296,2)="15",LEFT(TH!M1296,2)="15"),'152-CT'!$J$8=TH!F1296),"x","")</f>
        <v/>
      </c>
      <c r="Z1296" s="55" t="str">
        <f>IF(AND(OR(LEFT(TH!L1296,2)="15",LEFT(TH!M1296,2)="15"),TK!$E$7=TH!F1296),"x","")</f>
        <v/>
      </c>
      <c r="AA1296" s="55" t="str">
        <f>IF(AND(B1296&lt;=NKC!$N$8,B1296&gt;=NKC!$M$8),"x","")</f>
        <v/>
      </c>
    </row>
    <row r="1297" spans="1:29" s="226" customFormat="1" ht="15.75" customHeight="1">
      <c r="A1297" s="219" t="str">
        <f>IF(B1297&lt;&gt;"",IF(AND(B1297&gt;=_TM1,B1297&lt;=_TM2,OR(TH!L1297="1111",TH!M1297="1111")),TH!D1297,""),"")</f>
        <v/>
      </c>
      <c r="B1297" s="36">
        <f t="shared" si="57"/>
        <v>10</v>
      </c>
      <c r="C1297" s="205">
        <f t="shared" si="56"/>
        <v>41183</v>
      </c>
      <c r="D1297" s="205"/>
      <c r="E1297" s="205">
        <v>41183</v>
      </c>
      <c r="F1297" s="206" t="s">
        <v>1185</v>
      </c>
      <c r="G1297" s="581" t="s">
        <v>1479</v>
      </c>
      <c r="H1297" s="207" t="s">
        <v>1148</v>
      </c>
      <c r="I1297" s="277"/>
      <c r="J1297" s="277"/>
      <c r="K1297" s="38">
        <v>559816</v>
      </c>
      <c r="L1297" s="208" t="s">
        <v>311</v>
      </c>
      <c r="M1297" s="208" t="s">
        <v>549</v>
      </c>
      <c r="N1297" s="55" t="str">
        <f>IF(AND('331-CT'!$E$7=TH!H1297,OR(L1297="331",M1297="331")),"x","")</f>
        <v/>
      </c>
      <c r="O1297" s="55" t="str">
        <f>IF(AND($B1297&gt;='111'!$N$11,$B1297&lt;='111'!$O$11,OR($L1297=$O$7,$M1297=$O$7)),"x","")</f>
        <v/>
      </c>
      <c r="P1297" s="55" t="str">
        <f>IF(AND($L1297=$O$7,$B1297&lt;'111'!$N$11),"x","")</f>
        <v/>
      </c>
      <c r="Q1297" s="55" t="str">
        <f>IF(AND($M1297=$O$7,$B1297&lt;'111'!$N$11),"x","")</f>
        <v/>
      </c>
      <c r="R1297" s="55" t="str">
        <f>IF(ISERROR(FIND('112'!$M$9,G1297,1)),"",IF((AND(FIND('112'!$M$9,G1297,1)&gt;=1,$B1297&gt;='112'!$N$8,$B1297&lt;='112'!$O$8,OR($L1297='112'!$I$6,$M1297='112'!$I$6))),"x",""))</f>
        <v/>
      </c>
      <c r="S1297" s="55" t="str">
        <f>IF(ISERROR(FIND('112'!$M$9,G1297,1)),"",IF((AND(LEFT(G1297,2)=LEFT('112'!$M$9,2),B1297&lt;'112'!$N$8,$L1297='112'!$I$6)),"x",""))</f>
        <v/>
      </c>
      <c r="T1297" s="55" t="str">
        <f>IF(ISERROR(FIND('112'!$M$9,G1297,1)),"",IF((AND(RIGHT(G1297,2)=RIGHT('112'!$M$9,2),B1297&lt;'112'!$N$8,$M1297='112'!$I$6)),"x",""))</f>
        <v/>
      </c>
      <c r="U1297" s="55" t="str">
        <f>IF(AND('3411-CT'!$F$9=H1297,OR(LEFT(L1297,3)=$U$7,LEFT(M1297,3)=$U$7)),"x","")</f>
        <v/>
      </c>
      <c r="V1297" s="55" t="str">
        <f>IF(OR(TH!L1297=TH!$V$7,M1297=TH!$V$7),"x","")</f>
        <v/>
      </c>
      <c r="W1297" s="55" t="str">
        <f>IF(AND(OR(L1297="131",M1297="131"),H1297='131-CT'!$E$7),"x","")</f>
        <v/>
      </c>
      <c r="X1297" s="55" t="str">
        <f>IF(AND(B1297&gt;='IN-NX'!$P$3,B1297&lt;='IN-NX'!$Q$3,'IN-NX'!$D$7=D1297,OR(LEFT(TH!L1297,2)="15",LEFT(TH!M1297,2)="15")),"x","")</f>
        <v/>
      </c>
      <c r="Y1297" s="55" t="str">
        <f>IF(AND(OR(LEFT(TH!L1297,2)="15",LEFT(TH!M1297,2)="15"),'152-CT'!$J$8=TH!F1297),"x","")</f>
        <v/>
      </c>
      <c r="Z1297" s="55" t="str">
        <f>IF(AND(OR(LEFT(TH!L1297,2)="15",LEFT(TH!M1297,2)="15"),TK!$E$7=TH!F1297),"x","")</f>
        <v/>
      </c>
      <c r="AA1297" s="55" t="str">
        <f>IF(AND(B1297&lt;=NKC!$N$8,B1297&gt;=NKC!$M$8),"x","")</f>
        <v/>
      </c>
    </row>
    <row r="1298" spans="1:29" s="226" customFormat="1" ht="15.75" customHeight="1">
      <c r="A1298" s="219">
        <f>IF(B1298&lt;&gt;"",IF(AND(B1298&gt;=_TM1,B1298&lt;=_TM2,OR(TH!L1298="1111",TH!M1298="1111")),TH!D1298,""),"")</f>
        <v>0</v>
      </c>
      <c r="B1298" s="36">
        <f t="shared" si="57"/>
        <v>10</v>
      </c>
      <c r="C1298" s="205">
        <f t="shared" si="56"/>
        <v>41194</v>
      </c>
      <c r="D1298" s="205"/>
      <c r="E1298" s="205">
        <v>41194</v>
      </c>
      <c r="F1298" s="206" t="s">
        <v>1427</v>
      </c>
      <c r="G1298" s="581" t="s">
        <v>1480</v>
      </c>
      <c r="H1298" s="207" t="s">
        <v>1256</v>
      </c>
      <c r="I1298" s="277">
        <v>500</v>
      </c>
      <c r="J1298" s="277">
        <v>11000</v>
      </c>
      <c r="K1298" s="38">
        <f t="shared" si="55"/>
        <v>5500000</v>
      </c>
      <c r="L1298" s="208" t="s">
        <v>49</v>
      </c>
      <c r="M1298" s="208" t="s">
        <v>208</v>
      </c>
      <c r="N1298" s="55" t="str">
        <f>IF(AND('331-CT'!$E$7=TH!H1298,OR(L1298="331",M1298="331")),"x","")</f>
        <v/>
      </c>
      <c r="O1298" s="55" t="str">
        <f>IF(AND($B1298&gt;='111'!$N$11,$B1298&lt;='111'!$O$11,OR($L1298=$O$7,$M1298=$O$7)),"x","")</f>
        <v>x</v>
      </c>
      <c r="P1298" s="55" t="str">
        <f>IF(AND($L1298=$O$7,$B1298&lt;'111'!$N$11),"x","")</f>
        <v/>
      </c>
      <c r="Q1298" s="55" t="str">
        <f>IF(AND($M1298=$O$7,$B1298&lt;'111'!$N$11),"x","")</f>
        <v/>
      </c>
      <c r="R1298" s="55" t="str">
        <f>IF(ISERROR(FIND('112'!$M$9,G1298,1)),"",IF((AND(FIND('112'!$M$9,G1298,1)&gt;=1,$B1298&gt;='112'!$N$8,$B1298&lt;='112'!$O$8,OR($L1298='112'!$I$6,$M1298='112'!$I$6))),"x",""))</f>
        <v/>
      </c>
      <c r="S1298" s="55" t="str">
        <f>IF(ISERROR(FIND('112'!$M$9,G1298,1)),"",IF((AND(LEFT(G1298,2)=LEFT('112'!$M$9,2),B1298&lt;'112'!$N$8,$L1298='112'!$I$6)),"x",""))</f>
        <v/>
      </c>
      <c r="T1298" s="55" t="str">
        <f>IF(ISERROR(FIND('112'!$M$9,G1298,1)),"",IF((AND(RIGHT(G1298,2)=RIGHT('112'!$M$9,2),B1298&lt;'112'!$N$8,$M1298='112'!$I$6)),"x",""))</f>
        <v/>
      </c>
      <c r="U1298" s="55" t="str">
        <f>IF(AND('3411-CT'!$F$9=H1298,OR(LEFT(L1298,3)=$U$7,LEFT(M1298,3)=$U$7)),"x","")</f>
        <v/>
      </c>
      <c r="V1298" s="55" t="str">
        <f>IF(OR(TH!L1298=TH!$V$7,M1298=TH!$V$7),"x","")</f>
        <v/>
      </c>
      <c r="W1298" s="55" t="str">
        <f>IF(AND(OR(L1298="131",M1298="131"),H1298='131-CT'!$E$7),"x","")</f>
        <v/>
      </c>
      <c r="X1298" s="55" t="str">
        <f>IF(AND(B1298&gt;='IN-NX'!$P$3,B1298&lt;='IN-NX'!$Q$3,'IN-NX'!$D$7=D1298,OR(LEFT(TH!L1298,2)="15",LEFT(TH!M1298,2)="15")),"x","")</f>
        <v/>
      </c>
      <c r="Y1298" s="55" t="str">
        <f>IF(AND(OR(LEFT(TH!L1298,2)="15",LEFT(TH!M1298,2)="15"),'152-CT'!$J$8=TH!F1298),"x","")</f>
        <v/>
      </c>
      <c r="Z1298" s="55" t="str">
        <f>IF(AND(OR(LEFT(TH!L1298,2)="15",LEFT(TH!M1298,2)="15"),TK!$E$7=TH!F1298),"x","")</f>
        <v/>
      </c>
      <c r="AA1298" s="55" t="str">
        <f>IF(AND(B1298&lt;=NKC!$N$8,B1298&gt;=NKC!$M$8),"x","")</f>
        <v/>
      </c>
    </row>
    <row r="1299" spans="1:29" s="226" customFormat="1" ht="15.75" customHeight="1">
      <c r="A1299" s="219">
        <f>IF(B1299&lt;&gt;"",IF(AND(B1299&gt;=_TM1,B1299&lt;=_TM2,OR(TH!L1299="1111",TH!M1299="1111")),TH!D1299,""),"")</f>
        <v>0</v>
      </c>
      <c r="B1299" s="36">
        <f t="shared" si="57"/>
        <v>10</v>
      </c>
      <c r="C1299" s="205">
        <f t="shared" si="56"/>
        <v>41194</v>
      </c>
      <c r="D1299" s="205"/>
      <c r="E1299" s="205">
        <v>41194</v>
      </c>
      <c r="F1299" s="206" t="s">
        <v>1367</v>
      </c>
      <c r="G1299" s="581" t="s">
        <v>1480</v>
      </c>
      <c r="H1299" s="207" t="s">
        <v>1256</v>
      </c>
      <c r="I1299" s="277">
        <v>508</v>
      </c>
      <c r="J1299" s="277">
        <v>8000</v>
      </c>
      <c r="K1299" s="38">
        <f t="shared" si="55"/>
        <v>4064000</v>
      </c>
      <c r="L1299" s="208" t="s">
        <v>49</v>
      </c>
      <c r="M1299" s="208" t="s">
        <v>208</v>
      </c>
      <c r="N1299" s="55" t="str">
        <f>IF(AND('331-CT'!$E$7=TH!H1299,OR(L1299="331",M1299="331")),"x","")</f>
        <v/>
      </c>
      <c r="O1299" s="55" t="str">
        <f>IF(AND($B1299&gt;='111'!$N$11,$B1299&lt;='111'!$O$11,OR($L1299=$O$7,$M1299=$O$7)),"x","")</f>
        <v>x</v>
      </c>
      <c r="P1299" s="55" t="str">
        <f>IF(AND($L1299=$O$7,$B1299&lt;'111'!$N$11),"x","")</f>
        <v/>
      </c>
      <c r="Q1299" s="55" t="str">
        <f>IF(AND($M1299=$O$7,$B1299&lt;'111'!$N$11),"x","")</f>
        <v/>
      </c>
      <c r="R1299" s="55" t="str">
        <f>IF(ISERROR(FIND('112'!$M$9,G1299,1)),"",IF((AND(FIND('112'!$M$9,G1299,1)&gt;=1,$B1299&gt;='112'!$N$8,$B1299&lt;='112'!$O$8,OR($L1299='112'!$I$6,$M1299='112'!$I$6))),"x",""))</f>
        <v/>
      </c>
      <c r="S1299" s="55" t="str">
        <f>IF(ISERROR(FIND('112'!$M$9,G1299,1)),"",IF((AND(LEFT(G1299,2)=LEFT('112'!$M$9,2),B1299&lt;'112'!$N$8,$L1299='112'!$I$6)),"x",""))</f>
        <v/>
      </c>
      <c r="T1299" s="55" t="str">
        <f>IF(ISERROR(FIND('112'!$M$9,G1299,1)),"",IF((AND(RIGHT(G1299,2)=RIGHT('112'!$M$9,2),B1299&lt;'112'!$N$8,$M1299='112'!$I$6)),"x",""))</f>
        <v/>
      </c>
      <c r="U1299" s="55" t="str">
        <f>IF(AND('3411-CT'!$F$9=H1299,OR(LEFT(L1299,3)=$U$7,LEFT(M1299,3)=$U$7)),"x","")</f>
        <v/>
      </c>
      <c r="V1299" s="55" t="str">
        <f>IF(OR(TH!L1299=TH!$V$7,M1299=TH!$V$7),"x","")</f>
        <v/>
      </c>
      <c r="W1299" s="55" t="str">
        <f>IF(AND(OR(L1299="131",M1299="131"),H1299='131-CT'!$E$7),"x","")</f>
        <v/>
      </c>
      <c r="X1299" s="55" t="str">
        <f>IF(AND(B1299&gt;='IN-NX'!$P$3,B1299&lt;='IN-NX'!$Q$3,'IN-NX'!$D$7=D1299,OR(LEFT(TH!L1299,2)="15",LEFT(TH!M1299,2)="15")),"x","")</f>
        <v/>
      </c>
      <c r="Y1299" s="55" t="str">
        <f>IF(AND(OR(LEFT(TH!L1299,2)="15",LEFT(TH!M1299,2)="15"),'152-CT'!$J$8=TH!F1299),"x","")</f>
        <v/>
      </c>
      <c r="Z1299" s="55" t="str">
        <f>IF(AND(OR(LEFT(TH!L1299,2)="15",LEFT(TH!M1299,2)="15"),TK!$E$7=TH!F1299),"x","")</f>
        <v/>
      </c>
      <c r="AA1299" s="55" t="str">
        <f>IF(AND(B1299&lt;=NKC!$N$8,B1299&gt;=NKC!$M$8),"x","")</f>
        <v/>
      </c>
    </row>
    <row r="1300" spans="1:29" s="226" customFormat="1" ht="15.75" customHeight="1">
      <c r="A1300" s="219">
        <f>IF(B1300&lt;&gt;"",IF(AND(B1300&gt;=_TM1,B1300&lt;=_TM2,OR(TH!L1300="1111",TH!M1300="1111")),TH!D1300,""),"")</f>
        <v>0</v>
      </c>
      <c r="B1300" s="36">
        <f t="shared" si="57"/>
        <v>10</v>
      </c>
      <c r="C1300" s="205">
        <f t="shared" si="56"/>
        <v>41194</v>
      </c>
      <c r="D1300" s="205"/>
      <c r="E1300" s="205">
        <v>41194</v>
      </c>
      <c r="F1300" s="206" t="s">
        <v>1185</v>
      </c>
      <c r="G1300" s="581" t="s">
        <v>1480</v>
      </c>
      <c r="H1300" s="207" t="s">
        <v>1256</v>
      </c>
      <c r="I1300" s="277"/>
      <c r="J1300" s="277"/>
      <c r="K1300" s="38">
        <v>956400</v>
      </c>
      <c r="L1300" s="208" t="s">
        <v>49</v>
      </c>
      <c r="M1300" s="208" t="s">
        <v>549</v>
      </c>
      <c r="N1300" s="55" t="str">
        <f>IF(AND('331-CT'!$E$7=TH!H1300,OR(L1300="331",M1300="331")),"x","")</f>
        <v/>
      </c>
      <c r="O1300" s="55" t="str">
        <f>IF(AND($B1300&gt;='111'!$N$11,$B1300&lt;='111'!$O$11,OR($L1300=$O$7,$M1300=$O$7)),"x","")</f>
        <v>x</v>
      </c>
      <c r="P1300" s="55" t="str">
        <f>IF(AND($L1300=$O$7,$B1300&lt;'111'!$N$11),"x","")</f>
        <v/>
      </c>
      <c r="Q1300" s="55" t="str">
        <f>IF(AND($M1300=$O$7,$B1300&lt;'111'!$N$11),"x","")</f>
        <v/>
      </c>
      <c r="R1300" s="55" t="str">
        <f>IF(ISERROR(FIND('112'!$M$9,G1300,1)),"",IF((AND(FIND('112'!$M$9,G1300,1)&gt;=1,$B1300&gt;='112'!$N$8,$B1300&lt;='112'!$O$8,OR($L1300='112'!$I$6,$M1300='112'!$I$6))),"x",""))</f>
        <v/>
      </c>
      <c r="S1300" s="55" t="str">
        <f>IF(ISERROR(FIND('112'!$M$9,G1300,1)),"",IF((AND(LEFT(G1300,2)=LEFT('112'!$M$9,2),B1300&lt;'112'!$N$8,$L1300='112'!$I$6)),"x",""))</f>
        <v/>
      </c>
      <c r="T1300" s="55" t="str">
        <f>IF(ISERROR(FIND('112'!$M$9,G1300,1)),"",IF((AND(RIGHT(G1300,2)=RIGHT('112'!$M$9,2),B1300&lt;'112'!$N$8,$M1300='112'!$I$6)),"x",""))</f>
        <v/>
      </c>
      <c r="U1300" s="55" t="str">
        <f>IF(AND('3411-CT'!$F$9=H1300,OR(LEFT(L1300,3)=$U$7,LEFT(M1300,3)=$U$7)),"x","")</f>
        <v/>
      </c>
      <c r="V1300" s="55" t="str">
        <f>IF(OR(TH!L1300=TH!$V$7,M1300=TH!$V$7),"x","")</f>
        <v/>
      </c>
      <c r="W1300" s="55" t="str">
        <f>IF(AND(OR(L1300="131",M1300="131"),H1300='131-CT'!$E$7),"x","")</f>
        <v/>
      </c>
      <c r="X1300" s="55" t="str">
        <f>IF(AND(B1300&gt;='IN-NX'!$P$3,B1300&lt;='IN-NX'!$Q$3,'IN-NX'!$D$7=D1300,OR(LEFT(TH!L1300,2)="15",LEFT(TH!M1300,2)="15")),"x","")</f>
        <v/>
      </c>
      <c r="Y1300" s="55" t="str">
        <f>IF(AND(OR(LEFT(TH!L1300,2)="15",LEFT(TH!M1300,2)="15"),'152-CT'!$J$8=TH!F1300),"x","")</f>
        <v/>
      </c>
      <c r="Z1300" s="55" t="str">
        <f>IF(AND(OR(LEFT(TH!L1300,2)="15",LEFT(TH!M1300,2)="15"),TK!$E$7=TH!F1300),"x","")</f>
        <v/>
      </c>
      <c r="AA1300" s="55" t="str">
        <f>IF(AND(B1300&lt;=NKC!$N$8,B1300&gt;=NKC!$M$8),"x","")</f>
        <v/>
      </c>
    </row>
    <row r="1301" spans="1:29" s="226" customFormat="1" ht="15.75" customHeight="1">
      <c r="A1301" s="219" t="str">
        <f>IF(B1301&lt;&gt;"",IF(AND(B1301&gt;=_TM1,B1301&lt;=_TM2,OR(TH!L1301="1111",TH!M1301="1111")),TH!D1301,""),"")</f>
        <v/>
      </c>
      <c r="B1301" s="36">
        <f t="shared" si="57"/>
        <v>10</v>
      </c>
      <c r="C1301" s="205">
        <f t="shared" si="56"/>
        <v>41194</v>
      </c>
      <c r="D1301" s="205"/>
      <c r="E1301" s="205">
        <v>41194</v>
      </c>
      <c r="F1301" s="206" t="s">
        <v>1481</v>
      </c>
      <c r="G1301" s="581" t="s">
        <v>646</v>
      </c>
      <c r="H1301" s="47" t="s">
        <v>1147</v>
      </c>
      <c r="I1301" s="277">
        <v>1000</v>
      </c>
      <c r="J1301" s="277">
        <v>11500</v>
      </c>
      <c r="K1301" s="38">
        <f t="shared" si="55"/>
        <v>11500000</v>
      </c>
      <c r="L1301" s="208" t="s">
        <v>311</v>
      </c>
      <c r="M1301" s="208" t="s">
        <v>208</v>
      </c>
      <c r="N1301" s="55" t="str">
        <f>IF(AND('331-CT'!$E$7=TH!H1301,OR(L1301="331",M1301="331")),"x","")</f>
        <v/>
      </c>
      <c r="O1301" s="55" t="str">
        <f>IF(AND($B1301&gt;='111'!$N$11,$B1301&lt;='111'!$O$11,OR($L1301=$O$7,$M1301=$O$7)),"x","")</f>
        <v/>
      </c>
      <c r="P1301" s="55" t="str">
        <f>IF(AND($L1301=$O$7,$B1301&lt;'111'!$N$11),"x","")</f>
        <v/>
      </c>
      <c r="Q1301" s="55" t="str">
        <f>IF(AND($M1301=$O$7,$B1301&lt;'111'!$N$11),"x","")</f>
        <v/>
      </c>
      <c r="R1301" s="55" t="str">
        <f>IF(ISERROR(FIND('112'!$M$9,G1301,1)),"",IF((AND(FIND('112'!$M$9,G1301,1)&gt;=1,$B1301&gt;='112'!$N$8,$B1301&lt;='112'!$O$8,OR($L1301='112'!$I$6,$M1301='112'!$I$6))),"x",""))</f>
        <v/>
      </c>
      <c r="S1301" s="55" t="str">
        <f>IF(ISERROR(FIND('112'!$M$9,G1301,1)),"",IF((AND(LEFT(G1301,2)=LEFT('112'!$M$9,2),B1301&lt;'112'!$N$8,$L1301='112'!$I$6)),"x",""))</f>
        <v/>
      </c>
      <c r="T1301" s="55" t="str">
        <f>IF(ISERROR(FIND('112'!$M$9,G1301,1)),"",IF((AND(RIGHT(G1301,2)=RIGHT('112'!$M$9,2),B1301&lt;'112'!$N$8,$M1301='112'!$I$6)),"x",""))</f>
        <v/>
      </c>
      <c r="U1301" s="55" t="str">
        <f>IF(AND('3411-CT'!$F$9=H1301,OR(LEFT(L1301,3)=$U$7,LEFT(M1301,3)=$U$7)),"x","")</f>
        <v/>
      </c>
      <c r="V1301" s="55" t="str">
        <f>IF(OR(TH!L1301=TH!$V$7,M1301=TH!$V$7),"x","")</f>
        <v/>
      </c>
      <c r="W1301" s="55" t="str">
        <f>IF(AND(OR(L1301="131",M1301="131"),H1301='131-CT'!$E$7),"x","")</f>
        <v/>
      </c>
      <c r="X1301" s="55" t="str">
        <f>IF(AND(B1301&gt;='IN-NX'!$P$3,B1301&lt;='IN-NX'!$Q$3,'IN-NX'!$D$7=D1301,OR(LEFT(TH!L1301,2)="15",LEFT(TH!M1301,2)="15")),"x","")</f>
        <v/>
      </c>
      <c r="Y1301" s="55" t="str">
        <f>IF(AND(OR(LEFT(TH!L1301,2)="15",LEFT(TH!M1301,2)="15"),'152-CT'!$J$8=TH!F1301),"x","")</f>
        <v/>
      </c>
      <c r="Z1301" s="55" t="str">
        <f>IF(AND(OR(LEFT(TH!L1301,2)="15",LEFT(TH!M1301,2)="15"),TK!$E$7=TH!F1301),"x","")</f>
        <v/>
      </c>
      <c r="AA1301" s="55" t="str">
        <f>IF(AND(B1301&lt;=NKC!$N$8,B1301&gt;=NKC!$M$8),"x","")</f>
        <v/>
      </c>
    </row>
    <row r="1302" spans="1:29" s="226" customFormat="1" ht="15.75" customHeight="1">
      <c r="A1302" s="219" t="str">
        <f>IF(B1302&lt;&gt;"",IF(AND(B1302&gt;=_TM1,B1302&lt;=_TM2,OR(TH!L1302="1111",TH!M1302="1111")),TH!D1302,""),"")</f>
        <v/>
      </c>
      <c r="B1302" s="36">
        <f t="shared" si="57"/>
        <v>10</v>
      </c>
      <c r="C1302" s="205">
        <f t="shared" si="56"/>
        <v>41194</v>
      </c>
      <c r="D1302" s="205"/>
      <c r="E1302" s="205">
        <v>41194</v>
      </c>
      <c r="F1302" s="206" t="s">
        <v>1482</v>
      </c>
      <c r="G1302" s="581" t="s">
        <v>646</v>
      </c>
      <c r="H1302" s="47" t="s">
        <v>1147</v>
      </c>
      <c r="I1302" s="277">
        <v>100</v>
      </c>
      <c r="J1302" s="277">
        <v>13500</v>
      </c>
      <c r="K1302" s="38">
        <f t="shared" si="55"/>
        <v>1350000</v>
      </c>
      <c r="L1302" s="208" t="s">
        <v>311</v>
      </c>
      <c r="M1302" s="208" t="s">
        <v>208</v>
      </c>
      <c r="N1302" s="55" t="str">
        <f>IF(AND('331-CT'!$E$7=TH!H1302,OR(L1302="331",M1302="331")),"x","")</f>
        <v/>
      </c>
      <c r="O1302" s="55" t="str">
        <f>IF(AND($B1302&gt;='111'!$N$11,$B1302&lt;='111'!$O$11,OR($L1302=$O$7,$M1302=$O$7)),"x","")</f>
        <v/>
      </c>
      <c r="P1302" s="55" t="str">
        <f>IF(AND($L1302=$O$7,$B1302&lt;'111'!$N$11),"x","")</f>
        <v/>
      </c>
      <c r="Q1302" s="55" t="str">
        <f>IF(AND($M1302=$O$7,$B1302&lt;'111'!$N$11),"x","")</f>
        <v/>
      </c>
      <c r="R1302" s="55" t="str">
        <f>IF(ISERROR(FIND('112'!$M$9,G1302,1)),"",IF((AND(FIND('112'!$M$9,G1302,1)&gt;=1,$B1302&gt;='112'!$N$8,$B1302&lt;='112'!$O$8,OR($L1302='112'!$I$6,$M1302='112'!$I$6))),"x",""))</f>
        <v/>
      </c>
      <c r="S1302" s="55" t="str">
        <f>IF(ISERROR(FIND('112'!$M$9,G1302,1)),"",IF((AND(LEFT(G1302,2)=LEFT('112'!$M$9,2),B1302&lt;'112'!$N$8,$L1302='112'!$I$6)),"x",""))</f>
        <v/>
      </c>
      <c r="T1302" s="55" t="str">
        <f>IF(ISERROR(FIND('112'!$M$9,G1302,1)),"",IF((AND(RIGHT(G1302,2)=RIGHT('112'!$M$9,2),B1302&lt;'112'!$N$8,$M1302='112'!$I$6)),"x",""))</f>
        <v/>
      </c>
      <c r="U1302" s="55" t="str">
        <f>IF(AND('3411-CT'!$F$9=H1302,OR(LEFT(L1302,3)=$U$7,LEFT(M1302,3)=$U$7)),"x","")</f>
        <v/>
      </c>
      <c r="V1302" s="55" t="str">
        <f>IF(OR(TH!L1302=TH!$V$7,M1302=TH!$V$7),"x","")</f>
        <v/>
      </c>
      <c r="W1302" s="55" t="str">
        <f>IF(AND(OR(L1302="131",M1302="131"),H1302='131-CT'!$E$7),"x","")</f>
        <v/>
      </c>
      <c r="X1302" s="55" t="str">
        <f>IF(AND(B1302&gt;='IN-NX'!$P$3,B1302&lt;='IN-NX'!$Q$3,'IN-NX'!$D$7=D1302,OR(LEFT(TH!L1302,2)="15",LEFT(TH!M1302,2)="15")),"x","")</f>
        <v/>
      </c>
      <c r="Y1302" s="55" t="str">
        <f>IF(AND(OR(LEFT(TH!L1302,2)="15",LEFT(TH!M1302,2)="15"),'152-CT'!$J$8=TH!F1302),"x","")</f>
        <v/>
      </c>
      <c r="Z1302" s="55" t="str">
        <f>IF(AND(OR(LEFT(TH!L1302,2)="15",LEFT(TH!M1302,2)="15"),TK!$E$7=TH!F1302),"x","")</f>
        <v/>
      </c>
      <c r="AA1302" s="55" t="str">
        <f>IF(AND(B1302&lt;=NKC!$N$8,B1302&gt;=NKC!$M$8),"x","")</f>
        <v/>
      </c>
    </row>
    <row r="1303" spans="1:29" s="226" customFormat="1" ht="15.75" customHeight="1">
      <c r="A1303" s="219" t="str">
        <f>IF(B1303&lt;&gt;"",IF(AND(B1303&gt;=_TM1,B1303&lt;=_TM2,OR(TH!L1303="1111",TH!M1303="1111")),TH!D1303,""),"")</f>
        <v/>
      </c>
      <c r="B1303" s="36">
        <f t="shared" si="57"/>
        <v>10</v>
      </c>
      <c r="C1303" s="205">
        <f t="shared" si="56"/>
        <v>41194</v>
      </c>
      <c r="D1303" s="205"/>
      <c r="E1303" s="205">
        <v>41194</v>
      </c>
      <c r="F1303" s="206" t="s">
        <v>1483</v>
      </c>
      <c r="G1303" s="581" t="s">
        <v>646</v>
      </c>
      <c r="H1303" s="47" t="s">
        <v>1147</v>
      </c>
      <c r="I1303" s="277">
        <v>100</v>
      </c>
      <c r="J1303" s="277">
        <v>13500</v>
      </c>
      <c r="K1303" s="38">
        <f t="shared" si="55"/>
        <v>1350000</v>
      </c>
      <c r="L1303" s="208" t="s">
        <v>311</v>
      </c>
      <c r="M1303" s="208" t="s">
        <v>208</v>
      </c>
      <c r="N1303" s="55" t="str">
        <f>IF(AND('331-CT'!$E$7=TH!H1303,OR(L1303="331",M1303="331")),"x","")</f>
        <v/>
      </c>
      <c r="O1303" s="55" t="str">
        <f>IF(AND($B1303&gt;='111'!$N$11,$B1303&lt;='111'!$O$11,OR($L1303=$O$7,$M1303=$O$7)),"x","")</f>
        <v/>
      </c>
      <c r="P1303" s="55" t="str">
        <f>IF(AND($L1303=$O$7,$B1303&lt;'111'!$N$11),"x","")</f>
        <v/>
      </c>
      <c r="Q1303" s="55" t="str">
        <f>IF(AND($M1303=$O$7,$B1303&lt;'111'!$N$11),"x","")</f>
        <v/>
      </c>
      <c r="R1303" s="55" t="str">
        <f>IF(ISERROR(FIND('112'!$M$9,G1303,1)),"",IF((AND(FIND('112'!$M$9,G1303,1)&gt;=1,$B1303&gt;='112'!$N$8,$B1303&lt;='112'!$O$8,OR($L1303='112'!$I$6,$M1303='112'!$I$6))),"x",""))</f>
        <v/>
      </c>
      <c r="S1303" s="55" t="str">
        <f>IF(ISERROR(FIND('112'!$M$9,G1303,1)),"",IF((AND(LEFT(G1303,2)=LEFT('112'!$M$9,2),B1303&lt;'112'!$N$8,$L1303='112'!$I$6)),"x",""))</f>
        <v/>
      </c>
      <c r="T1303" s="55" t="str">
        <f>IF(ISERROR(FIND('112'!$M$9,G1303,1)),"",IF((AND(RIGHT(G1303,2)=RIGHT('112'!$M$9,2),B1303&lt;'112'!$N$8,$M1303='112'!$I$6)),"x",""))</f>
        <v/>
      </c>
      <c r="U1303" s="55" t="str">
        <f>IF(AND('3411-CT'!$F$9=H1303,OR(LEFT(L1303,3)=$U$7,LEFT(M1303,3)=$U$7)),"x","")</f>
        <v/>
      </c>
      <c r="V1303" s="55" t="str">
        <f>IF(OR(TH!L1303=TH!$V$7,M1303=TH!$V$7),"x","")</f>
        <v/>
      </c>
      <c r="W1303" s="55" t="str">
        <f>IF(AND(OR(L1303="131",M1303="131"),H1303='131-CT'!$E$7),"x","")</f>
        <v/>
      </c>
      <c r="X1303" s="55" t="str">
        <f>IF(AND(B1303&gt;='IN-NX'!$P$3,B1303&lt;='IN-NX'!$Q$3,'IN-NX'!$D$7=D1303,OR(LEFT(TH!L1303,2)="15",LEFT(TH!M1303,2)="15")),"x","")</f>
        <v/>
      </c>
      <c r="Y1303" s="55" t="str">
        <f>IF(AND(OR(LEFT(TH!L1303,2)="15",LEFT(TH!M1303,2)="15"),'152-CT'!$J$8=TH!F1303),"x","")</f>
        <v/>
      </c>
      <c r="Z1303" s="55" t="str">
        <f>IF(AND(OR(LEFT(TH!L1303,2)="15",LEFT(TH!M1303,2)="15"),TK!$E$7=TH!F1303),"x","")</f>
        <v/>
      </c>
      <c r="AA1303" s="55" t="str">
        <f>IF(AND(B1303&lt;=NKC!$N$8,B1303&gt;=NKC!$M$8),"x","")</f>
        <v/>
      </c>
    </row>
    <row r="1304" spans="1:29" s="226" customFormat="1" ht="15.75" customHeight="1">
      <c r="A1304" s="219" t="str">
        <f>IF(B1304&lt;&gt;"",IF(AND(B1304&gt;=_TM1,B1304&lt;=_TM2,OR(TH!L1304="1111",TH!M1304="1111")),TH!D1304,""),"")</f>
        <v/>
      </c>
      <c r="B1304" s="36">
        <f t="shared" si="57"/>
        <v>10</v>
      </c>
      <c r="C1304" s="205">
        <f t="shared" si="56"/>
        <v>41194</v>
      </c>
      <c r="D1304" s="205"/>
      <c r="E1304" s="205">
        <v>41194</v>
      </c>
      <c r="F1304" s="206" t="s">
        <v>1484</v>
      </c>
      <c r="G1304" s="581" t="s">
        <v>646</v>
      </c>
      <c r="H1304" s="47" t="s">
        <v>1147</v>
      </c>
      <c r="I1304" s="277">
        <v>100</v>
      </c>
      <c r="J1304" s="277">
        <v>12900</v>
      </c>
      <c r="K1304" s="38">
        <f t="shared" si="55"/>
        <v>1290000</v>
      </c>
      <c r="L1304" s="208" t="s">
        <v>311</v>
      </c>
      <c r="M1304" s="208" t="s">
        <v>208</v>
      </c>
      <c r="N1304" s="55" t="str">
        <f>IF(AND('331-CT'!$E$7=TH!H1304,OR(L1304="331",M1304="331")),"x","")</f>
        <v/>
      </c>
      <c r="O1304" s="55" t="str">
        <f>IF(AND($B1304&gt;='111'!$N$11,$B1304&lt;='111'!$O$11,OR($L1304=$O$7,$M1304=$O$7)),"x","")</f>
        <v/>
      </c>
      <c r="P1304" s="55" t="str">
        <f>IF(AND($L1304=$O$7,$B1304&lt;'111'!$N$11),"x","")</f>
        <v/>
      </c>
      <c r="Q1304" s="55" t="str">
        <f>IF(AND($M1304=$O$7,$B1304&lt;'111'!$N$11),"x","")</f>
        <v/>
      </c>
      <c r="R1304" s="55" t="str">
        <f>IF(ISERROR(FIND('112'!$M$9,G1304,1)),"",IF((AND(FIND('112'!$M$9,G1304,1)&gt;=1,$B1304&gt;='112'!$N$8,$B1304&lt;='112'!$O$8,OR($L1304='112'!$I$6,$M1304='112'!$I$6))),"x",""))</f>
        <v/>
      </c>
      <c r="S1304" s="55" t="str">
        <f>IF(ISERROR(FIND('112'!$M$9,G1304,1)),"",IF((AND(LEFT(G1304,2)=LEFT('112'!$M$9,2),B1304&lt;'112'!$N$8,$L1304='112'!$I$6)),"x",""))</f>
        <v/>
      </c>
      <c r="T1304" s="55" t="str">
        <f>IF(ISERROR(FIND('112'!$M$9,G1304,1)),"",IF((AND(RIGHT(G1304,2)=RIGHT('112'!$M$9,2),B1304&lt;'112'!$N$8,$M1304='112'!$I$6)),"x",""))</f>
        <v/>
      </c>
      <c r="U1304" s="55" t="str">
        <f>IF(AND('3411-CT'!$F$9=H1304,OR(LEFT(L1304,3)=$U$7,LEFT(M1304,3)=$U$7)),"x","")</f>
        <v/>
      </c>
      <c r="V1304" s="55" t="str">
        <f>IF(OR(TH!L1304=TH!$V$7,M1304=TH!$V$7),"x","")</f>
        <v/>
      </c>
      <c r="W1304" s="55" t="str">
        <f>IF(AND(OR(L1304="131",M1304="131"),H1304='131-CT'!$E$7),"x","")</f>
        <v/>
      </c>
      <c r="X1304" s="55" t="str">
        <f>IF(AND(B1304&gt;='IN-NX'!$P$3,B1304&lt;='IN-NX'!$Q$3,'IN-NX'!$D$7=D1304,OR(LEFT(TH!L1304,2)="15",LEFT(TH!M1304,2)="15")),"x","")</f>
        <v/>
      </c>
      <c r="Y1304" s="55" t="str">
        <f>IF(AND(OR(LEFT(TH!L1304,2)="15",LEFT(TH!M1304,2)="15"),'152-CT'!$J$8=TH!F1304),"x","")</f>
        <v/>
      </c>
      <c r="Z1304" s="55" t="str">
        <f>IF(AND(OR(LEFT(TH!L1304,2)="15",LEFT(TH!M1304,2)="15"),TK!$E$7=TH!F1304),"x","")</f>
        <v/>
      </c>
      <c r="AA1304" s="55" t="str">
        <f>IF(AND(B1304&lt;=NKC!$N$8,B1304&gt;=NKC!$M$8),"x","")</f>
        <v/>
      </c>
    </row>
    <row r="1305" spans="1:29" s="226" customFormat="1" ht="15.75" customHeight="1">
      <c r="A1305" s="219" t="str">
        <f>IF(B1305&lt;&gt;"",IF(AND(B1305&gt;=_TM1,B1305&lt;=_TM2,OR(TH!L1305="1111",TH!M1305="1111")),TH!D1305,""),"")</f>
        <v/>
      </c>
      <c r="B1305" s="36">
        <f t="shared" si="57"/>
        <v>10</v>
      </c>
      <c r="C1305" s="205">
        <f t="shared" si="56"/>
        <v>41194</v>
      </c>
      <c r="D1305" s="205"/>
      <c r="E1305" s="205">
        <v>41194</v>
      </c>
      <c r="F1305" s="206" t="s">
        <v>1185</v>
      </c>
      <c r="G1305" s="581" t="s">
        <v>646</v>
      </c>
      <c r="H1305" s="47" t="s">
        <v>1147</v>
      </c>
      <c r="I1305" s="277"/>
      <c r="J1305" s="277"/>
      <c r="K1305" s="38">
        <v>1549000</v>
      </c>
      <c r="L1305" s="208" t="s">
        <v>311</v>
      </c>
      <c r="M1305" s="208" t="s">
        <v>549</v>
      </c>
      <c r="N1305" s="55" t="str">
        <f>IF(AND('331-CT'!$E$7=TH!H1305,OR(L1305="331",M1305="331")),"x","")</f>
        <v/>
      </c>
      <c r="O1305" s="55" t="str">
        <f>IF(AND($B1305&gt;='111'!$N$11,$B1305&lt;='111'!$O$11,OR($L1305=$O$7,$M1305=$O$7)),"x","")</f>
        <v/>
      </c>
      <c r="P1305" s="55" t="str">
        <f>IF(AND($L1305=$O$7,$B1305&lt;'111'!$N$11),"x","")</f>
        <v/>
      </c>
      <c r="Q1305" s="55" t="str">
        <f>IF(AND($M1305=$O$7,$B1305&lt;'111'!$N$11),"x","")</f>
        <v/>
      </c>
      <c r="R1305" s="55" t="str">
        <f>IF(ISERROR(FIND('112'!$M$9,G1305,1)),"",IF((AND(FIND('112'!$M$9,G1305,1)&gt;=1,$B1305&gt;='112'!$N$8,$B1305&lt;='112'!$O$8,OR($L1305='112'!$I$6,$M1305='112'!$I$6))),"x",""))</f>
        <v/>
      </c>
      <c r="S1305" s="55" t="str">
        <f>IF(ISERROR(FIND('112'!$M$9,G1305,1)),"",IF((AND(LEFT(G1305,2)=LEFT('112'!$M$9,2),B1305&lt;'112'!$N$8,$L1305='112'!$I$6)),"x",""))</f>
        <v/>
      </c>
      <c r="T1305" s="55" t="str">
        <f>IF(ISERROR(FIND('112'!$M$9,G1305,1)),"",IF((AND(RIGHT(G1305,2)=RIGHT('112'!$M$9,2),B1305&lt;'112'!$N$8,$M1305='112'!$I$6)),"x",""))</f>
        <v/>
      </c>
      <c r="U1305" s="55" t="str">
        <f>IF(AND('3411-CT'!$F$9=H1305,OR(LEFT(L1305,3)=$U$7,LEFT(M1305,3)=$U$7)),"x","")</f>
        <v/>
      </c>
      <c r="V1305" s="55" t="str">
        <f>IF(OR(TH!L1305=TH!$V$7,M1305=TH!$V$7),"x","")</f>
        <v/>
      </c>
      <c r="W1305" s="55" t="str">
        <f>IF(AND(OR(L1305="131",M1305="131"),H1305='131-CT'!$E$7),"x","")</f>
        <v/>
      </c>
      <c r="X1305" s="55" t="str">
        <f>IF(AND(B1305&gt;='IN-NX'!$P$3,B1305&lt;='IN-NX'!$Q$3,'IN-NX'!$D$7=D1305,OR(LEFT(TH!L1305,2)="15",LEFT(TH!M1305,2)="15")),"x","")</f>
        <v/>
      </c>
      <c r="Y1305" s="55" t="str">
        <f>IF(AND(OR(LEFT(TH!L1305,2)="15",LEFT(TH!M1305,2)="15"),'152-CT'!$J$8=TH!F1305),"x","")</f>
        <v/>
      </c>
      <c r="Z1305" s="55" t="str">
        <f>IF(AND(OR(LEFT(TH!L1305,2)="15",LEFT(TH!M1305,2)="15"),TK!$E$7=TH!F1305),"x","")</f>
        <v/>
      </c>
      <c r="AA1305" s="55" t="str">
        <f>IF(AND(B1305&lt;=NKC!$N$8,B1305&gt;=NKC!$M$8),"x","")</f>
        <v/>
      </c>
    </row>
    <row r="1306" spans="1:29" s="226" customFormat="1" ht="15.75" customHeight="1">
      <c r="A1306" s="219" t="str">
        <f>IF(B1306&lt;&gt;"",IF(AND(B1306&gt;=_TM1,B1306&lt;=_TM2,OR(TH!L1306="1111",TH!M1306="1111")),TH!D1306,""),"")</f>
        <v/>
      </c>
      <c r="B1306" s="36">
        <f t="shared" si="57"/>
        <v>10</v>
      </c>
      <c r="C1306" s="205">
        <f t="shared" si="56"/>
        <v>41195</v>
      </c>
      <c r="D1306" s="205"/>
      <c r="E1306" s="205">
        <v>41195</v>
      </c>
      <c r="F1306" s="206" t="s">
        <v>1485</v>
      </c>
      <c r="G1306" s="581" t="s">
        <v>1486</v>
      </c>
      <c r="H1306" s="47" t="s">
        <v>1147</v>
      </c>
      <c r="I1306" s="277">
        <v>1000</v>
      </c>
      <c r="J1306" s="277">
        <v>11500</v>
      </c>
      <c r="K1306" s="38">
        <f t="shared" si="55"/>
        <v>11500000</v>
      </c>
      <c r="L1306" s="208" t="s">
        <v>311</v>
      </c>
      <c r="M1306" s="208" t="s">
        <v>208</v>
      </c>
      <c r="N1306" s="55" t="str">
        <f>IF(AND('331-CT'!$E$7=TH!H1306,OR(L1306="331",M1306="331")),"x","")</f>
        <v/>
      </c>
      <c r="O1306" s="55" t="str">
        <f>IF(AND($B1306&gt;='111'!$N$11,$B1306&lt;='111'!$O$11,OR($L1306=$O$7,$M1306=$O$7)),"x","")</f>
        <v/>
      </c>
      <c r="P1306" s="55" t="str">
        <f>IF(AND($L1306=$O$7,$B1306&lt;'111'!$N$11),"x","")</f>
        <v/>
      </c>
      <c r="Q1306" s="55" t="str">
        <f>IF(AND($M1306=$O$7,$B1306&lt;'111'!$N$11),"x","")</f>
        <v/>
      </c>
      <c r="R1306" s="55" t="str">
        <f>IF(ISERROR(FIND('112'!$M$9,G1306,1)),"",IF((AND(FIND('112'!$M$9,G1306,1)&gt;=1,$B1306&gt;='112'!$N$8,$B1306&lt;='112'!$O$8,OR($L1306='112'!$I$6,$M1306='112'!$I$6))),"x",""))</f>
        <v/>
      </c>
      <c r="S1306" s="55" t="str">
        <f>IF(ISERROR(FIND('112'!$M$9,G1306,1)),"",IF((AND(LEFT(G1306,2)=LEFT('112'!$M$9,2),B1306&lt;'112'!$N$8,$L1306='112'!$I$6)),"x",""))</f>
        <v/>
      </c>
      <c r="T1306" s="55" t="str">
        <f>IF(ISERROR(FIND('112'!$M$9,G1306,1)),"",IF((AND(RIGHT(G1306,2)=RIGHT('112'!$M$9,2),B1306&lt;'112'!$N$8,$M1306='112'!$I$6)),"x",""))</f>
        <v/>
      </c>
      <c r="U1306" s="55" t="str">
        <f>IF(AND('3411-CT'!$F$9=H1306,OR(LEFT(L1306,3)=$U$7,LEFT(M1306,3)=$U$7)),"x","")</f>
        <v/>
      </c>
      <c r="V1306" s="55" t="str">
        <f>IF(OR(TH!L1306=TH!$V$7,M1306=TH!$V$7),"x","")</f>
        <v/>
      </c>
      <c r="W1306" s="55" t="str">
        <f>IF(AND(OR(L1306="131",M1306="131"),H1306='131-CT'!$E$7),"x","")</f>
        <v/>
      </c>
      <c r="X1306" s="55" t="str">
        <f>IF(AND(B1306&gt;='IN-NX'!$P$3,B1306&lt;='IN-NX'!$Q$3,'IN-NX'!$D$7=D1306,OR(LEFT(TH!L1306,2)="15",LEFT(TH!M1306,2)="15")),"x","")</f>
        <v/>
      </c>
      <c r="Y1306" s="55" t="str">
        <f>IF(AND(OR(LEFT(TH!L1306,2)="15",LEFT(TH!M1306,2)="15"),'152-CT'!$J$8=TH!F1306),"x","")</f>
        <v/>
      </c>
      <c r="Z1306" s="55" t="str">
        <f>IF(AND(OR(LEFT(TH!L1306,2)="15",LEFT(TH!M1306,2)="15"),TK!$E$7=TH!F1306),"x","")</f>
        <v/>
      </c>
      <c r="AA1306" s="55" t="str">
        <f>IF(AND(B1306&lt;=NKC!$N$8,B1306&gt;=NKC!$M$8),"x","")</f>
        <v/>
      </c>
    </row>
    <row r="1307" spans="1:29" s="226" customFormat="1" ht="15.75" customHeight="1">
      <c r="A1307" s="219" t="str">
        <f>IF(B1307&lt;&gt;"",IF(AND(B1307&gt;=_TM1,B1307&lt;=_TM2,OR(TH!L1307="1111",TH!M1307="1111")),TH!D1307,""),"")</f>
        <v/>
      </c>
      <c r="B1307" s="36">
        <f t="shared" si="57"/>
        <v>10</v>
      </c>
      <c r="C1307" s="205">
        <f t="shared" si="56"/>
        <v>41195</v>
      </c>
      <c r="D1307" s="205"/>
      <c r="E1307" s="205">
        <v>41195</v>
      </c>
      <c r="F1307" s="206" t="s">
        <v>1487</v>
      </c>
      <c r="G1307" s="581" t="s">
        <v>1486</v>
      </c>
      <c r="H1307" s="47" t="s">
        <v>1147</v>
      </c>
      <c r="I1307" s="277">
        <v>300</v>
      </c>
      <c r="J1307" s="277">
        <v>13500</v>
      </c>
      <c r="K1307" s="38">
        <f t="shared" si="55"/>
        <v>4050000</v>
      </c>
      <c r="L1307" s="208" t="s">
        <v>311</v>
      </c>
      <c r="M1307" s="208" t="s">
        <v>208</v>
      </c>
      <c r="N1307" s="55" t="str">
        <f>IF(AND('331-CT'!$E$7=TH!H1307,OR(L1307="331",M1307="331")),"x","")</f>
        <v/>
      </c>
      <c r="O1307" s="55" t="str">
        <f>IF(AND($B1307&gt;='111'!$N$11,$B1307&lt;='111'!$O$11,OR($L1307=$O$7,$M1307=$O$7)),"x","")</f>
        <v/>
      </c>
      <c r="P1307" s="55" t="str">
        <f>IF(AND($L1307=$O$7,$B1307&lt;'111'!$N$11),"x","")</f>
        <v/>
      </c>
      <c r="Q1307" s="55" t="str">
        <f>IF(AND($M1307=$O$7,$B1307&lt;'111'!$N$11),"x","")</f>
        <v/>
      </c>
      <c r="R1307" s="55" t="str">
        <f>IF(ISERROR(FIND('112'!$M$9,G1307,1)),"",IF((AND(FIND('112'!$M$9,G1307,1)&gt;=1,$B1307&gt;='112'!$N$8,$B1307&lt;='112'!$O$8,OR($L1307='112'!$I$6,$M1307='112'!$I$6))),"x",""))</f>
        <v/>
      </c>
      <c r="S1307" s="55" t="str">
        <f>IF(ISERROR(FIND('112'!$M$9,G1307,1)),"",IF((AND(LEFT(G1307,2)=LEFT('112'!$M$9,2),B1307&lt;'112'!$N$8,$L1307='112'!$I$6)),"x",""))</f>
        <v/>
      </c>
      <c r="T1307" s="55" t="str">
        <f>IF(ISERROR(FIND('112'!$M$9,G1307,1)),"",IF((AND(RIGHT(G1307,2)=RIGHT('112'!$M$9,2),B1307&lt;'112'!$N$8,$M1307='112'!$I$6)),"x",""))</f>
        <v/>
      </c>
      <c r="U1307" s="55" t="str">
        <f>IF(AND('3411-CT'!$F$9=H1307,OR(LEFT(L1307,3)=$U$7,LEFT(M1307,3)=$U$7)),"x","")</f>
        <v/>
      </c>
      <c r="V1307" s="55" t="str">
        <f>IF(OR(TH!L1307=TH!$V$7,M1307=TH!$V$7),"x","")</f>
        <v/>
      </c>
      <c r="W1307" s="55" t="str">
        <f>IF(AND(OR(L1307="131",M1307="131"),H1307='131-CT'!$E$7),"x","")</f>
        <v/>
      </c>
      <c r="X1307" s="55" t="str">
        <f>IF(AND(B1307&gt;='IN-NX'!$P$3,B1307&lt;='IN-NX'!$Q$3,'IN-NX'!$D$7=D1307,OR(LEFT(TH!L1307,2)="15",LEFT(TH!M1307,2)="15")),"x","")</f>
        <v/>
      </c>
      <c r="Y1307" s="55" t="str">
        <f>IF(AND(OR(LEFT(TH!L1307,2)="15",LEFT(TH!M1307,2)="15"),'152-CT'!$J$8=TH!F1307),"x","")</f>
        <v/>
      </c>
      <c r="Z1307" s="55" t="str">
        <f>IF(AND(OR(LEFT(TH!L1307,2)="15",LEFT(TH!M1307,2)="15"),TK!$E$7=TH!F1307),"x","")</f>
        <v/>
      </c>
      <c r="AA1307" s="55" t="str">
        <f>IF(AND(B1307&lt;=NKC!$N$8,B1307&gt;=NKC!$M$8),"x","")</f>
        <v/>
      </c>
    </row>
    <row r="1308" spans="1:29" ht="15.75" customHeight="1">
      <c r="A1308" s="219" t="str">
        <f>IF(B1308&lt;&gt;"",IF(AND(B1308&gt;=_TM1,B1308&lt;=_TM2,OR(TH!L1308="1111",TH!M1308="1111")),TH!D1308,""),"")</f>
        <v/>
      </c>
      <c r="B1308" s="36">
        <f t="shared" si="57"/>
        <v>10</v>
      </c>
      <c r="C1308" s="205">
        <f t="shared" si="56"/>
        <v>41195</v>
      </c>
      <c r="D1308" s="205"/>
      <c r="E1308" s="205">
        <v>41195</v>
      </c>
      <c r="F1308" s="206" t="s">
        <v>1488</v>
      </c>
      <c r="G1308" s="581" t="s">
        <v>1486</v>
      </c>
      <c r="H1308" s="47" t="s">
        <v>1147</v>
      </c>
      <c r="I1308" s="277">
        <v>100</v>
      </c>
      <c r="J1308" s="277">
        <v>10800</v>
      </c>
      <c r="K1308" s="38">
        <f t="shared" si="55"/>
        <v>1080000</v>
      </c>
      <c r="L1308" s="208" t="s">
        <v>311</v>
      </c>
      <c r="M1308" s="208" t="s">
        <v>208</v>
      </c>
      <c r="N1308" s="55" t="str">
        <f>IF(AND('331-CT'!$E$7=TH!H1308,OR(L1308="331",M1308="331")),"x","")</f>
        <v/>
      </c>
      <c r="O1308" s="55" t="str">
        <f>IF(AND($B1308&gt;='111'!$N$11,$B1308&lt;='111'!$O$11,OR($L1308=$O$7,$M1308=$O$7)),"x","")</f>
        <v/>
      </c>
      <c r="P1308" s="55" t="str">
        <f>IF(AND($L1308=$O$7,$B1308&lt;'111'!$N$11),"x","")</f>
        <v/>
      </c>
      <c r="Q1308" s="55" t="str">
        <f>IF(AND($M1308=$O$7,$B1308&lt;'111'!$N$11),"x","")</f>
        <v/>
      </c>
      <c r="R1308" s="55" t="str">
        <f>IF(ISERROR(FIND('112'!$M$9,G1308,1)),"",IF((AND(FIND('112'!$M$9,G1308,1)&gt;=1,$B1308&gt;='112'!$N$8,$B1308&lt;='112'!$O$8,OR($L1308='112'!$I$6,$M1308='112'!$I$6))),"x",""))</f>
        <v/>
      </c>
      <c r="S1308" s="55" t="str">
        <f>IF(ISERROR(FIND('112'!$M$9,G1308,1)),"",IF((AND(LEFT(G1308,2)=LEFT('112'!$M$9,2),B1308&lt;'112'!$N$8,$L1308='112'!$I$6)),"x",""))</f>
        <v/>
      </c>
      <c r="T1308" s="55" t="str">
        <f>IF(ISERROR(FIND('112'!$M$9,G1308,1)),"",IF((AND(RIGHT(G1308,2)=RIGHT('112'!$M$9,2),B1308&lt;'112'!$N$8,$M1308='112'!$I$6)),"x",""))</f>
        <v/>
      </c>
      <c r="U1308" s="55" t="str">
        <f>IF(AND('3411-CT'!$F$9=H1308,OR(LEFT(L1308,3)=$U$7,LEFT(M1308,3)=$U$7)),"x","")</f>
        <v/>
      </c>
      <c r="V1308" s="55" t="str">
        <f>IF(OR(TH!L1308=TH!$V$7,M1308=TH!$V$7),"x","")</f>
        <v/>
      </c>
      <c r="W1308" s="55" t="str">
        <f>IF(AND(OR(L1308="131",M1308="131"),H1308='131-CT'!$E$7),"x","")</f>
        <v/>
      </c>
      <c r="X1308" s="55" t="str">
        <f>IF(AND(B1308&gt;='IN-NX'!$P$3,B1308&lt;='IN-NX'!$Q$3,'IN-NX'!$D$7=D1308,OR(LEFT(TH!L1308,2)="15",LEFT(TH!M1308,2)="15")),"x","")</f>
        <v/>
      </c>
      <c r="Y1308" s="55" t="str">
        <f>IF(AND(OR(LEFT(TH!L1308,2)="15",LEFT(TH!M1308,2)="15"),'152-CT'!$J$8=TH!F1308),"x","")</f>
        <v/>
      </c>
      <c r="Z1308" s="55" t="str">
        <f>IF(AND(OR(LEFT(TH!L1308,2)="15",LEFT(TH!M1308,2)="15"),TK!$E$7=TH!F1308),"x","")</f>
        <v/>
      </c>
      <c r="AA1308" s="55" t="str">
        <f>IF(AND(B1308&lt;=NKC!$N$8,B1308&gt;=NKC!$M$8),"x","")</f>
        <v/>
      </c>
    </row>
    <row r="1309" spans="1:29" ht="15.75" customHeight="1">
      <c r="A1309" s="219" t="str">
        <f>IF(B1309&lt;&gt;"",IF(AND(B1309&gt;=_TM1,B1309&lt;=_TM2,OR(TH!L1309="1111",TH!M1309="1111")),TH!D1309,""),"")</f>
        <v/>
      </c>
      <c r="B1309" s="36">
        <f t="shared" si="57"/>
        <v>10</v>
      </c>
      <c r="C1309" s="205">
        <f t="shared" si="56"/>
        <v>41195</v>
      </c>
      <c r="D1309" s="205"/>
      <c r="E1309" s="205">
        <v>41195</v>
      </c>
      <c r="F1309" s="206" t="s">
        <v>1185</v>
      </c>
      <c r="G1309" s="581" t="s">
        <v>1486</v>
      </c>
      <c r="H1309" s="47" t="s">
        <v>1147</v>
      </c>
      <c r="I1309" s="277"/>
      <c r="J1309" s="277"/>
      <c r="K1309" s="38">
        <v>1663000</v>
      </c>
      <c r="L1309" s="208" t="s">
        <v>311</v>
      </c>
      <c r="M1309" s="208" t="s">
        <v>549</v>
      </c>
      <c r="N1309" s="55" t="str">
        <f>IF(AND('331-CT'!$E$7=TH!H1309,OR(L1309="331",M1309="331")),"x","")</f>
        <v/>
      </c>
      <c r="O1309" s="55" t="str">
        <f>IF(AND($B1309&gt;='111'!$N$11,$B1309&lt;='111'!$O$11,OR($L1309=$O$7,$M1309=$O$7)),"x","")</f>
        <v/>
      </c>
      <c r="P1309" s="55" t="str">
        <f>IF(AND($L1309=$O$7,$B1309&lt;'111'!$N$11),"x","")</f>
        <v/>
      </c>
      <c r="Q1309" s="55" t="str">
        <f>IF(AND($M1309=$O$7,$B1309&lt;'111'!$N$11),"x","")</f>
        <v/>
      </c>
      <c r="R1309" s="55" t="str">
        <f>IF(ISERROR(FIND('112'!$M$9,G1309,1)),"",IF((AND(FIND('112'!$M$9,G1309,1)&gt;=1,$B1309&gt;='112'!$N$8,$B1309&lt;='112'!$O$8,OR($L1309='112'!$I$6,$M1309='112'!$I$6))),"x",""))</f>
        <v/>
      </c>
      <c r="S1309" s="55" t="str">
        <f>IF(ISERROR(FIND('112'!$M$9,G1309,1)),"",IF((AND(LEFT(G1309,2)=LEFT('112'!$M$9,2),B1309&lt;'112'!$N$8,$L1309='112'!$I$6)),"x",""))</f>
        <v/>
      </c>
      <c r="T1309" s="55" t="str">
        <f>IF(ISERROR(FIND('112'!$M$9,G1309,1)),"",IF((AND(RIGHT(G1309,2)=RIGHT('112'!$M$9,2),B1309&lt;'112'!$N$8,$M1309='112'!$I$6)),"x",""))</f>
        <v/>
      </c>
      <c r="U1309" s="55" t="str">
        <f>IF(AND('3411-CT'!$F$9=H1309,OR(LEFT(L1309,3)=$U$7,LEFT(M1309,3)=$U$7)),"x","")</f>
        <v/>
      </c>
      <c r="V1309" s="55" t="str">
        <f>IF(OR(TH!L1309=TH!$V$7,M1309=TH!$V$7),"x","")</f>
        <v/>
      </c>
      <c r="W1309" s="55" t="str">
        <f>IF(AND(OR(L1309="131",M1309="131"),H1309='131-CT'!$E$7),"x","")</f>
        <v/>
      </c>
      <c r="X1309" s="55" t="str">
        <f>IF(AND(B1309&gt;='IN-NX'!$P$3,B1309&lt;='IN-NX'!$Q$3,'IN-NX'!$D$7=D1309,OR(LEFT(TH!L1309,2)="15",LEFT(TH!M1309,2)="15")),"x","")</f>
        <v/>
      </c>
      <c r="Y1309" s="55" t="str">
        <f>IF(AND(OR(LEFT(TH!L1309,2)="15",LEFT(TH!M1309,2)="15"),'152-CT'!$J$8=TH!F1309),"x","")</f>
        <v/>
      </c>
      <c r="Z1309" s="55" t="str">
        <f>IF(AND(OR(LEFT(TH!L1309,2)="15",LEFT(TH!M1309,2)="15"),TK!$E$7=TH!F1309),"x","")</f>
        <v/>
      </c>
      <c r="AA1309" s="55" t="str">
        <f>IF(AND(B1309&lt;=NKC!$N$8,B1309&gt;=NKC!$M$8),"x","")</f>
        <v/>
      </c>
      <c r="AC1309" s="226"/>
    </row>
    <row r="1310" spans="1:29" ht="15.75" customHeight="1">
      <c r="A1310" s="219">
        <f>IF(B1310&lt;&gt;"",IF(AND(B1310&gt;=_TM1,B1310&lt;=_TM2,OR(TH!L1310="1111",TH!M1310="1111")),TH!D1310,""),"")</f>
        <v>0</v>
      </c>
      <c r="B1310" s="36">
        <f t="shared" si="57"/>
        <v>10</v>
      </c>
      <c r="C1310" s="205">
        <f t="shared" si="56"/>
        <v>41198</v>
      </c>
      <c r="D1310" s="205"/>
      <c r="E1310" s="205">
        <v>41198</v>
      </c>
      <c r="F1310" s="206" t="s">
        <v>1489</v>
      </c>
      <c r="G1310" s="581" t="s">
        <v>1490</v>
      </c>
      <c r="H1310" s="207" t="s">
        <v>1256</v>
      </c>
      <c r="I1310" s="277">
        <v>495</v>
      </c>
      <c r="J1310" s="277">
        <v>8000</v>
      </c>
      <c r="K1310" s="38">
        <f t="shared" si="55"/>
        <v>3960000</v>
      </c>
      <c r="L1310" s="208" t="s">
        <v>49</v>
      </c>
      <c r="M1310" s="208" t="s">
        <v>208</v>
      </c>
      <c r="N1310" s="55" t="str">
        <f>IF(AND('331-CT'!$E$7=TH!H1310,OR(L1310="331",M1310="331")),"x","")</f>
        <v/>
      </c>
      <c r="O1310" s="55" t="str">
        <f>IF(AND($B1310&gt;='111'!$N$11,$B1310&lt;='111'!$O$11,OR($L1310=$O$7,$M1310=$O$7)),"x","")</f>
        <v>x</v>
      </c>
      <c r="P1310" s="55" t="str">
        <f>IF(AND($L1310=$O$7,$B1310&lt;'111'!$N$11),"x","")</f>
        <v/>
      </c>
      <c r="Q1310" s="55" t="str">
        <f>IF(AND($M1310=$O$7,$B1310&lt;'111'!$N$11),"x","")</f>
        <v/>
      </c>
      <c r="R1310" s="55" t="str">
        <f>IF(ISERROR(FIND('112'!$M$9,G1310,1)),"",IF((AND(FIND('112'!$M$9,G1310,1)&gt;=1,$B1310&gt;='112'!$N$8,$B1310&lt;='112'!$O$8,OR($L1310='112'!$I$6,$M1310='112'!$I$6))),"x",""))</f>
        <v/>
      </c>
      <c r="S1310" s="55" t="str">
        <f>IF(ISERROR(FIND('112'!$M$9,G1310,1)),"",IF((AND(LEFT(G1310,2)=LEFT('112'!$M$9,2),B1310&lt;'112'!$N$8,$L1310='112'!$I$6)),"x",""))</f>
        <v/>
      </c>
      <c r="T1310" s="55" t="str">
        <f>IF(ISERROR(FIND('112'!$M$9,G1310,1)),"",IF((AND(RIGHT(G1310,2)=RIGHT('112'!$M$9,2),B1310&lt;'112'!$N$8,$M1310='112'!$I$6)),"x",""))</f>
        <v/>
      </c>
      <c r="U1310" s="55" t="str">
        <f>IF(AND('3411-CT'!$F$9=H1310,OR(LEFT(L1310,3)=$U$7,LEFT(M1310,3)=$U$7)),"x","")</f>
        <v/>
      </c>
      <c r="V1310" s="55" t="str">
        <f>IF(OR(TH!L1310=TH!$V$7,M1310=TH!$V$7),"x","")</f>
        <v/>
      </c>
      <c r="W1310" s="55" t="str">
        <f>IF(AND(OR(L1310="131",M1310="131"),H1310='131-CT'!$E$7),"x","")</f>
        <v/>
      </c>
      <c r="X1310" s="55" t="str">
        <f>IF(AND(B1310&gt;='IN-NX'!$P$3,B1310&lt;='IN-NX'!$Q$3,'IN-NX'!$D$7=D1310,OR(LEFT(TH!L1310,2)="15",LEFT(TH!M1310,2)="15")),"x","")</f>
        <v/>
      </c>
      <c r="Y1310" s="55" t="str">
        <f>IF(AND(OR(LEFT(TH!L1310,2)="15",LEFT(TH!M1310,2)="15"),'152-CT'!$J$8=TH!F1310),"x","")</f>
        <v/>
      </c>
      <c r="Z1310" s="55" t="str">
        <f>IF(AND(OR(LEFT(TH!L1310,2)="15",LEFT(TH!M1310,2)="15"),TK!$E$7=TH!F1310),"x","")</f>
        <v/>
      </c>
      <c r="AA1310" s="55" t="str">
        <f>IF(AND(B1310&lt;=NKC!$N$8,B1310&gt;=NKC!$M$8),"x","")</f>
        <v/>
      </c>
    </row>
    <row r="1311" spans="1:29" ht="15.75" customHeight="1">
      <c r="A1311" s="219">
        <f>IF(B1311&lt;&gt;"",IF(AND(B1311&gt;=_TM1,B1311&lt;=_TM2,OR(TH!L1311="1111",TH!M1311="1111")),TH!D1311,""),"")</f>
        <v>0</v>
      </c>
      <c r="B1311" s="36">
        <f t="shared" si="57"/>
        <v>10</v>
      </c>
      <c r="C1311" s="205">
        <f t="shared" si="56"/>
        <v>41198</v>
      </c>
      <c r="D1311" s="205"/>
      <c r="E1311" s="205">
        <v>41198</v>
      </c>
      <c r="F1311" s="206" t="s">
        <v>1185</v>
      </c>
      <c r="G1311" s="581" t="s">
        <v>1490</v>
      </c>
      <c r="H1311" s="207" t="s">
        <v>1256</v>
      </c>
      <c r="I1311" s="277"/>
      <c r="J1311" s="277"/>
      <c r="K1311" s="38">
        <v>396000</v>
      </c>
      <c r="L1311" s="208" t="s">
        <v>49</v>
      </c>
      <c r="M1311" s="208" t="s">
        <v>549</v>
      </c>
      <c r="N1311" s="55" t="str">
        <f>IF(AND('331-CT'!$E$7=TH!H1311,OR(L1311="331",M1311="331")),"x","")</f>
        <v/>
      </c>
      <c r="O1311" s="55" t="str">
        <f>IF(AND($B1311&gt;='111'!$N$11,$B1311&lt;='111'!$O$11,OR($L1311=$O$7,$M1311=$O$7)),"x","")</f>
        <v>x</v>
      </c>
      <c r="P1311" s="55" t="str">
        <f>IF(AND($L1311=$O$7,$B1311&lt;'111'!$N$11),"x","")</f>
        <v/>
      </c>
      <c r="Q1311" s="55" t="str">
        <f>IF(AND($M1311=$O$7,$B1311&lt;'111'!$N$11),"x","")</f>
        <v/>
      </c>
      <c r="R1311" s="55" t="str">
        <f>IF(ISERROR(FIND('112'!$M$9,G1311,1)),"",IF((AND(FIND('112'!$M$9,G1311,1)&gt;=1,$B1311&gt;='112'!$N$8,$B1311&lt;='112'!$O$8,OR($L1311='112'!$I$6,$M1311='112'!$I$6))),"x",""))</f>
        <v/>
      </c>
      <c r="S1311" s="55" t="str">
        <f>IF(ISERROR(FIND('112'!$M$9,G1311,1)),"",IF((AND(LEFT(G1311,2)=LEFT('112'!$M$9,2),B1311&lt;'112'!$N$8,$L1311='112'!$I$6)),"x",""))</f>
        <v/>
      </c>
      <c r="T1311" s="55" t="str">
        <f>IF(ISERROR(FIND('112'!$M$9,G1311,1)),"",IF((AND(RIGHT(G1311,2)=RIGHT('112'!$M$9,2),B1311&lt;'112'!$N$8,$M1311='112'!$I$6)),"x",""))</f>
        <v/>
      </c>
      <c r="U1311" s="55" t="str">
        <f>IF(AND('3411-CT'!$F$9=H1311,OR(LEFT(L1311,3)=$U$7,LEFT(M1311,3)=$U$7)),"x","")</f>
        <v/>
      </c>
      <c r="V1311" s="55" t="str">
        <f>IF(OR(TH!L1311=TH!$V$7,M1311=TH!$V$7),"x","")</f>
        <v/>
      </c>
      <c r="W1311" s="55" t="str">
        <f>IF(AND(OR(L1311="131",M1311="131"),H1311='131-CT'!$E$7),"x","")</f>
        <v/>
      </c>
      <c r="X1311" s="55" t="str">
        <f>IF(AND(B1311&gt;='IN-NX'!$P$3,B1311&lt;='IN-NX'!$Q$3,'IN-NX'!$D$7=D1311,OR(LEFT(TH!L1311,2)="15",LEFT(TH!M1311,2)="15")),"x","")</f>
        <v/>
      </c>
      <c r="Y1311" s="55" t="str">
        <f>IF(AND(OR(LEFT(TH!L1311,2)="15",LEFT(TH!M1311,2)="15"),'152-CT'!$J$8=TH!F1311),"x","")</f>
        <v/>
      </c>
      <c r="Z1311" s="55" t="str">
        <f>IF(AND(OR(LEFT(TH!L1311,2)="15",LEFT(TH!M1311,2)="15"),TK!$E$7=TH!F1311),"x","")</f>
        <v/>
      </c>
      <c r="AA1311" s="55" t="str">
        <f>IF(AND(B1311&lt;=NKC!$N$8,B1311&gt;=NKC!$M$8),"x","")</f>
        <v/>
      </c>
      <c r="AC1311" s="226"/>
    </row>
    <row r="1312" spans="1:29" ht="15.75" customHeight="1">
      <c r="A1312" s="219">
        <f>IF(B1312&lt;&gt;"",IF(AND(B1312&gt;=_TM1,B1312&lt;=_TM2,OR(TH!L1312="1111",TH!M1312="1111")),TH!D1312,""),"")</f>
        <v>0</v>
      </c>
      <c r="B1312" s="36">
        <f t="shared" si="57"/>
        <v>10</v>
      </c>
      <c r="C1312" s="205">
        <f t="shared" si="56"/>
        <v>41199</v>
      </c>
      <c r="D1312" s="205"/>
      <c r="E1312" s="205">
        <v>41199</v>
      </c>
      <c r="F1312" s="206" t="s">
        <v>1427</v>
      </c>
      <c r="G1312" s="581" t="s">
        <v>1491</v>
      </c>
      <c r="H1312" s="207" t="s">
        <v>1256</v>
      </c>
      <c r="I1312" s="277">
        <v>489</v>
      </c>
      <c r="J1312" s="277">
        <v>11000</v>
      </c>
      <c r="K1312" s="38">
        <f t="shared" si="55"/>
        <v>5379000</v>
      </c>
      <c r="L1312" s="208" t="s">
        <v>49</v>
      </c>
      <c r="M1312" s="208" t="s">
        <v>208</v>
      </c>
      <c r="N1312" s="55" t="str">
        <f>IF(AND('331-CT'!$E$7=TH!H1312,OR(L1312="331",M1312="331")),"x","")</f>
        <v/>
      </c>
      <c r="O1312" s="55" t="str">
        <f>IF(AND($B1312&gt;='111'!$N$11,$B1312&lt;='111'!$O$11,OR($L1312=$O$7,$M1312=$O$7)),"x","")</f>
        <v>x</v>
      </c>
      <c r="P1312" s="55" t="str">
        <f>IF(AND($L1312=$O$7,$B1312&lt;'111'!$N$11),"x","")</f>
        <v/>
      </c>
      <c r="Q1312" s="55" t="str">
        <f>IF(AND($M1312=$O$7,$B1312&lt;'111'!$N$11),"x","")</f>
        <v/>
      </c>
      <c r="R1312" s="55" t="str">
        <f>IF(ISERROR(FIND('112'!$M$9,G1312,1)),"",IF((AND(FIND('112'!$M$9,G1312,1)&gt;=1,$B1312&gt;='112'!$N$8,$B1312&lt;='112'!$O$8,OR($L1312='112'!$I$6,$M1312='112'!$I$6))),"x",""))</f>
        <v/>
      </c>
      <c r="S1312" s="55" t="str">
        <f>IF(ISERROR(FIND('112'!$M$9,G1312,1)),"",IF((AND(LEFT(G1312,2)=LEFT('112'!$M$9,2),B1312&lt;'112'!$N$8,$L1312='112'!$I$6)),"x",""))</f>
        <v/>
      </c>
      <c r="T1312" s="55" t="str">
        <f>IF(ISERROR(FIND('112'!$M$9,G1312,1)),"",IF((AND(RIGHT(G1312,2)=RIGHT('112'!$M$9,2),B1312&lt;'112'!$N$8,$M1312='112'!$I$6)),"x",""))</f>
        <v/>
      </c>
      <c r="U1312" s="55" t="str">
        <f>IF(AND('3411-CT'!$F$9=H1312,OR(LEFT(L1312,3)=$U$7,LEFT(M1312,3)=$U$7)),"x","")</f>
        <v/>
      </c>
      <c r="V1312" s="55" t="str">
        <f>IF(OR(TH!L1312=TH!$V$7,M1312=TH!$V$7),"x","")</f>
        <v/>
      </c>
      <c r="W1312" s="55" t="str">
        <f>IF(AND(OR(L1312="131",M1312="131"),H1312='131-CT'!$E$7),"x","")</f>
        <v/>
      </c>
      <c r="X1312" s="55" t="str">
        <f>IF(AND(B1312&gt;='IN-NX'!$P$3,B1312&lt;='IN-NX'!$Q$3,'IN-NX'!$D$7=D1312,OR(LEFT(TH!L1312,2)="15",LEFT(TH!M1312,2)="15")),"x","")</f>
        <v/>
      </c>
      <c r="Y1312" s="55" t="str">
        <f>IF(AND(OR(LEFT(TH!L1312,2)="15",LEFT(TH!M1312,2)="15"),'152-CT'!$J$8=TH!F1312),"x","")</f>
        <v/>
      </c>
      <c r="Z1312" s="55" t="str">
        <f>IF(AND(OR(LEFT(TH!L1312,2)="15",LEFT(TH!M1312,2)="15"),TK!$E$7=TH!F1312),"x","")</f>
        <v/>
      </c>
      <c r="AA1312" s="55" t="str">
        <f>IF(AND(B1312&lt;=NKC!$N$8,B1312&gt;=NKC!$M$8),"x","")</f>
        <v/>
      </c>
    </row>
    <row r="1313" spans="1:29" ht="15.75" customHeight="1">
      <c r="A1313" s="219">
        <f>IF(B1313&lt;&gt;"",IF(AND(B1313&gt;=_TM1,B1313&lt;=_TM2,OR(TH!L1313="1111",TH!M1313="1111")),TH!D1313,""),"")</f>
        <v>0</v>
      </c>
      <c r="B1313" s="36">
        <f t="shared" si="57"/>
        <v>10</v>
      </c>
      <c r="C1313" s="205">
        <f t="shared" si="56"/>
        <v>41199</v>
      </c>
      <c r="D1313" s="205"/>
      <c r="E1313" s="205">
        <v>41199</v>
      </c>
      <c r="F1313" s="206" t="s">
        <v>1492</v>
      </c>
      <c r="G1313" s="581" t="s">
        <v>1491</v>
      </c>
      <c r="H1313" s="207" t="s">
        <v>1256</v>
      </c>
      <c r="I1313" s="277">
        <v>490</v>
      </c>
      <c r="J1313" s="277">
        <v>8000</v>
      </c>
      <c r="K1313" s="38">
        <f t="shared" si="55"/>
        <v>3920000</v>
      </c>
      <c r="L1313" s="208" t="s">
        <v>49</v>
      </c>
      <c r="M1313" s="208" t="s">
        <v>208</v>
      </c>
      <c r="N1313" s="55" t="str">
        <f>IF(AND('331-CT'!$E$7=TH!H1313,OR(L1313="331",M1313="331")),"x","")</f>
        <v/>
      </c>
      <c r="O1313" s="55" t="str">
        <f>IF(AND($B1313&gt;='111'!$N$11,$B1313&lt;='111'!$O$11,OR($L1313=$O$7,$M1313=$O$7)),"x","")</f>
        <v>x</v>
      </c>
      <c r="P1313" s="55" t="str">
        <f>IF(AND($L1313=$O$7,$B1313&lt;'111'!$N$11),"x","")</f>
        <v/>
      </c>
      <c r="Q1313" s="55" t="str">
        <f>IF(AND($M1313=$O$7,$B1313&lt;'111'!$N$11),"x","")</f>
        <v/>
      </c>
      <c r="R1313" s="55" t="str">
        <f>IF(ISERROR(FIND('112'!$M$9,G1313,1)),"",IF((AND(FIND('112'!$M$9,G1313,1)&gt;=1,$B1313&gt;='112'!$N$8,$B1313&lt;='112'!$O$8,OR($L1313='112'!$I$6,$M1313='112'!$I$6))),"x",""))</f>
        <v/>
      </c>
      <c r="S1313" s="55" t="str">
        <f>IF(ISERROR(FIND('112'!$M$9,G1313,1)),"",IF((AND(LEFT(G1313,2)=LEFT('112'!$M$9,2),B1313&lt;'112'!$N$8,$L1313='112'!$I$6)),"x",""))</f>
        <v/>
      </c>
      <c r="T1313" s="55" t="str">
        <f>IF(ISERROR(FIND('112'!$M$9,G1313,1)),"",IF((AND(RIGHT(G1313,2)=RIGHT('112'!$M$9,2),B1313&lt;'112'!$N$8,$M1313='112'!$I$6)),"x",""))</f>
        <v/>
      </c>
      <c r="U1313" s="55" t="str">
        <f>IF(AND('3411-CT'!$F$9=H1313,OR(LEFT(L1313,3)=$U$7,LEFT(M1313,3)=$U$7)),"x","")</f>
        <v/>
      </c>
      <c r="V1313" s="55" t="str">
        <f>IF(OR(TH!L1313=TH!$V$7,M1313=TH!$V$7),"x","")</f>
        <v/>
      </c>
      <c r="W1313" s="55" t="str">
        <f>IF(AND(OR(L1313="131",M1313="131"),H1313='131-CT'!$E$7),"x","")</f>
        <v/>
      </c>
      <c r="X1313" s="55" t="str">
        <f>IF(AND(B1313&gt;='IN-NX'!$P$3,B1313&lt;='IN-NX'!$Q$3,'IN-NX'!$D$7=D1313,OR(LEFT(TH!L1313,2)="15",LEFT(TH!M1313,2)="15")),"x","")</f>
        <v/>
      </c>
      <c r="Y1313" s="55" t="str">
        <f>IF(AND(OR(LEFT(TH!L1313,2)="15",LEFT(TH!M1313,2)="15"),'152-CT'!$J$8=TH!F1313),"x","")</f>
        <v/>
      </c>
      <c r="Z1313" s="55" t="str">
        <f>IF(AND(OR(LEFT(TH!L1313,2)="15",LEFT(TH!M1313,2)="15"),TK!$E$7=TH!F1313),"x","")</f>
        <v/>
      </c>
      <c r="AA1313" s="55" t="str">
        <f>IF(AND(B1313&lt;=NKC!$N$8,B1313&gt;=NKC!$M$8),"x","")</f>
        <v/>
      </c>
    </row>
    <row r="1314" spans="1:29" ht="15.75" customHeight="1">
      <c r="A1314" s="219">
        <f>IF(B1314&lt;&gt;"",IF(AND(B1314&gt;=_TM1,B1314&lt;=_TM2,OR(TH!L1314="1111",TH!M1314="1111")),TH!D1314,""),"")</f>
        <v>0</v>
      </c>
      <c r="B1314" s="36">
        <f t="shared" si="57"/>
        <v>10</v>
      </c>
      <c r="C1314" s="205">
        <f t="shared" si="56"/>
        <v>41199</v>
      </c>
      <c r="D1314" s="205"/>
      <c r="E1314" s="205">
        <v>41199</v>
      </c>
      <c r="F1314" s="206" t="s">
        <v>1185</v>
      </c>
      <c r="G1314" s="581" t="s">
        <v>1491</v>
      </c>
      <c r="H1314" s="207" t="s">
        <v>1256</v>
      </c>
      <c r="I1314" s="277"/>
      <c r="J1314" s="277"/>
      <c r="K1314" s="38">
        <v>929900</v>
      </c>
      <c r="L1314" s="208" t="s">
        <v>49</v>
      </c>
      <c r="M1314" s="208" t="s">
        <v>549</v>
      </c>
      <c r="N1314" s="55" t="str">
        <f>IF(AND('331-CT'!$E$7=TH!H1314,OR(L1314="331",M1314="331")),"x","")</f>
        <v/>
      </c>
      <c r="O1314" s="55" t="str">
        <f>IF(AND($B1314&gt;='111'!$N$11,$B1314&lt;='111'!$O$11,OR($L1314=$O$7,$M1314=$O$7)),"x","")</f>
        <v>x</v>
      </c>
      <c r="P1314" s="55" t="str">
        <f>IF(AND($L1314=$O$7,$B1314&lt;'111'!$N$11),"x","")</f>
        <v/>
      </c>
      <c r="Q1314" s="55" t="str">
        <f>IF(AND($M1314=$O$7,$B1314&lt;'111'!$N$11),"x","")</f>
        <v/>
      </c>
      <c r="R1314" s="55" t="str">
        <f>IF(ISERROR(FIND('112'!$M$9,G1314,1)),"",IF((AND(FIND('112'!$M$9,G1314,1)&gt;=1,$B1314&gt;='112'!$N$8,$B1314&lt;='112'!$O$8,OR($L1314='112'!$I$6,$M1314='112'!$I$6))),"x",""))</f>
        <v/>
      </c>
      <c r="S1314" s="55" t="str">
        <f>IF(ISERROR(FIND('112'!$M$9,G1314,1)),"",IF((AND(LEFT(G1314,2)=LEFT('112'!$M$9,2),B1314&lt;'112'!$N$8,$L1314='112'!$I$6)),"x",""))</f>
        <v/>
      </c>
      <c r="T1314" s="55" t="str">
        <f>IF(ISERROR(FIND('112'!$M$9,G1314,1)),"",IF((AND(RIGHT(G1314,2)=RIGHT('112'!$M$9,2),B1314&lt;'112'!$N$8,$M1314='112'!$I$6)),"x",""))</f>
        <v/>
      </c>
      <c r="U1314" s="55" t="str">
        <f>IF(AND('3411-CT'!$F$9=H1314,OR(LEFT(L1314,3)=$U$7,LEFT(M1314,3)=$U$7)),"x","")</f>
        <v/>
      </c>
      <c r="V1314" s="55" t="str">
        <f>IF(OR(TH!L1314=TH!$V$7,M1314=TH!$V$7),"x","")</f>
        <v/>
      </c>
      <c r="W1314" s="55" t="str">
        <f>IF(AND(OR(L1314="131",M1314="131"),H1314='131-CT'!$E$7),"x","")</f>
        <v/>
      </c>
      <c r="X1314" s="55" t="str">
        <f>IF(AND(B1314&gt;='IN-NX'!$P$3,B1314&lt;='IN-NX'!$Q$3,'IN-NX'!$D$7=D1314,OR(LEFT(TH!L1314,2)="15",LEFT(TH!M1314,2)="15")),"x","")</f>
        <v/>
      </c>
      <c r="Y1314" s="55" t="str">
        <f>IF(AND(OR(LEFT(TH!L1314,2)="15",LEFT(TH!M1314,2)="15"),'152-CT'!$J$8=TH!F1314),"x","")</f>
        <v/>
      </c>
      <c r="Z1314" s="55" t="str">
        <f>IF(AND(OR(LEFT(TH!L1314,2)="15",LEFT(TH!M1314,2)="15"),TK!$E$7=TH!F1314),"x","")</f>
        <v/>
      </c>
      <c r="AA1314" s="55" t="str">
        <f>IF(AND(B1314&lt;=NKC!$N$8,B1314&gt;=NKC!$M$8),"x","")</f>
        <v/>
      </c>
      <c r="AC1314" s="226"/>
    </row>
    <row r="1315" spans="1:29" ht="15.75" customHeight="1">
      <c r="A1315" s="219">
        <f>IF(B1315&lt;&gt;"",IF(AND(B1315&gt;=_TM1,B1315&lt;=_TM2,OR(TH!L1315="1111",TH!M1315="1111")),TH!D1315,""),"")</f>
        <v>0</v>
      </c>
      <c r="B1315" s="36">
        <f t="shared" si="57"/>
        <v>10</v>
      </c>
      <c r="C1315" s="205">
        <f t="shared" si="56"/>
        <v>41199</v>
      </c>
      <c r="D1315" s="205"/>
      <c r="E1315" s="205">
        <v>41199</v>
      </c>
      <c r="F1315" s="206" t="s">
        <v>1493</v>
      </c>
      <c r="G1315" s="581" t="s">
        <v>1494</v>
      </c>
      <c r="H1315" s="207" t="s">
        <v>1207</v>
      </c>
      <c r="I1315" s="277">
        <v>106</v>
      </c>
      <c r="J1315" s="277">
        <v>6585</v>
      </c>
      <c r="K1315" s="38">
        <f t="shared" si="55"/>
        <v>698010</v>
      </c>
      <c r="L1315" s="208" t="s">
        <v>49</v>
      </c>
      <c r="M1315" s="208" t="s">
        <v>208</v>
      </c>
      <c r="N1315" s="55" t="str">
        <f>IF(AND('331-CT'!$E$7=TH!H1315,OR(L1315="331",M1315="331")),"x","")</f>
        <v/>
      </c>
      <c r="O1315" s="55" t="str">
        <f>IF(AND($B1315&gt;='111'!$N$11,$B1315&lt;='111'!$O$11,OR($L1315=$O$7,$M1315=$O$7)),"x","")</f>
        <v>x</v>
      </c>
      <c r="P1315" s="55" t="str">
        <f>IF(AND($L1315=$O$7,$B1315&lt;'111'!$N$11),"x","")</f>
        <v/>
      </c>
      <c r="Q1315" s="55" t="str">
        <f>IF(AND($M1315=$O$7,$B1315&lt;'111'!$N$11),"x","")</f>
        <v/>
      </c>
      <c r="R1315" s="55" t="str">
        <f>IF(ISERROR(FIND('112'!$M$9,G1315,1)),"",IF((AND(FIND('112'!$M$9,G1315,1)&gt;=1,$B1315&gt;='112'!$N$8,$B1315&lt;='112'!$O$8,OR($L1315='112'!$I$6,$M1315='112'!$I$6))),"x",""))</f>
        <v/>
      </c>
      <c r="S1315" s="55" t="str">
        <f>IF(ISERROR(FIND('112'!$M$9,G1315,1)),"",IF((AND(LEFT(G1315,2)=LEFT('112'!$M$9,2),B1315&lt;'112'!$N$8,$L1315='112'!$I$6)),"x",""))</f>
        <v/>
      </c>
      <c r="T1315" s="55" t="str">
        <f>IF(ISERROR(FIND('112'!$M$9,G1315,1)),"",IF((AND(RIGHT(G1315,2)=RIGHT('112'!$M$9,2),B1315&lt;'112'!$N$8,$M1315='112'!$I$6)),"x",""))</f>
        <v/>
      </c>
      <c r="U1315" s="55" t="str">
        <f>IF(AND('3411-CT'!$F$9=H1315,OR(LEFT(L1315,3)=$U$7,LEFT(M1315,3)=$U$7)),"x","")</f>
        <v/>
      </c>
      <c r="V1315" s="55" t="str">
        <f>IF(OR(TH!L1315=TH!$V$7,M1315=TH!$V$7),"x","")</f>
        <v/>
      </c>
      <c r="W1315" s="55" t="str">
        <f>IF(AND(OR(L1315="131",M1315="131"),H1315='131-CT'!$E$7),"x","")</f>
        <v/>
      </c>
      <c r="X1315" s="55" t="str">
        <f>IF(AND(B1315&gt;='IN-NX'!$P$3,B1315&lt;='IN-NX'!$Q$3,'IN-NX'!$D$7=D1315,OR(LEFT(TH!L1315,2)="15",LEFT(TH!M1315,2)="15")),"x","")</f>
        <v/>
      </c>
      <c r="Y1315" s="55" t="str">
        <f>IF(AND(OR(LEFT(TH!L1315,2)="15",LEFT(TH!M1315,2)="15"),'152-CT'!$J$8=TH!F1315),"x","")</f>
        <v/>
      </c>
      <c r="Z1315" s="55" t="str">
        <f>IF(AND(OR(LEFT(TH!L1315,2)="15",LEFT(TH!M1315,2)="15"),TK!$E$7=TH!F1315),"x","")</f>
        <v/>
      </c>
      <c r="AA1315" s="55" t="str">
        <f>IF(AND(B1315&lt;=NKC!$N$8,B1315&gt;=NKC!$M$8),"x","")</f>
        <v/>
      </c>
    </row>
    <row r="1316" spans="1:29" ht="15.75" customHeight="1">
      <c r="A1316" s="219">
        <f>IF(B1316&lt;&gt;"",IF(AND(B1316&gt;=_TM1,B1316&lt;=_TM2,OR(TH!L1316="1111",TH!M1316="1111")),TH!D1316,""),"")</f>
        <v>0</v>
      </c>
      <c r="B1316" s="36">
        <f t="shared" si="57"/>
        <v>10</v>
      </c>
      <c r="C1316" s="205">
        <f t="shared" si="56"/>
        <v>41199</v>
      </c>
      <c r="D1316" s="205"/>
      <c r="E1316" s="205">
        <v>41199</v>
      </c>
      <c r="F1316" s="206" t="s">
        <v>1495</v>
      </c>
      <c r="G1316" s="581" t="s">
        <v>1494</v>
      </c>
      <c r="H1316" s="207" t="s">
        <v>1207</v>
      </c>
      <c r="I1316" s="277">
        <v>104</v>
      </c>
      <c r="J1316" s="277">
        <v>6700</v>
      </c>
      <c r="K1316" s="38">
        <f t="shared" si="55"/>
        <v>696800</v>
      </c>
      <c r="L1316" s="208" t="s">
        <v>49</v>
      </c>
      <c r="M1316" s="208" t="s">
        <v>208</v>
      </c>
      <c r="N1316" s="55" t="str">
        <f>IF(AND('331-CT'!$E$7=TH!H1316,OR(L1316="331",M1316="331")),"x","")</f>
        <v/>
      </c>
      <c r="O1316" s="55" t="str">
        <f>IF(AND($B1316&gt;='111'!$N$11,$B1316&lt;='111'!$O$11,OR($L1316=$O$7,$M1316=$O$7)),"x","")</f>
        <v>x</v>
      </c>
      <c r="P1316" s="55" t="str">
        <f>IF(AND($L1316=$O$7,$B1316&lt;'111'!$N$11),"x","")</f>
        <v/>
      </c>
      <c r="Q1316" s="55" t="str">
        <f>IF(AND($M1316=$O$7,$B1316&lt;'111'!$N$11),"x","")</f>
        <v/>
      </c>
      <c r="R1316" s="55" t="str">
        <f>IF(ISERROR(FIND('112'!$M$9,G1316,1)),"",IF((AND(FIND('112'!$M$9,G1316,1)&gt;=1,$B1316&gt;='112'!$N$8,$B1316&lt;='112'!$O$8,OR($L1316='112'!$I$6,$M1316='112'!$I$6))),"x",""))</f>
        <v/>
      </c>
      <c r="S1316" s="55" t="str">
        <f>IF(ISERROR(FIND('112'!$M$9,G1316,1)),"",IF((AND(LEFT(G1316,2)=LEFT('112'!$M$9,2),B1316&lt;'112'!$N$8,$L1316='112'!$I$6)),"x",""))</f>
        <v/>
      </c>
      <c r="T1316" s="55" t="str">
        <f>IF(ISERROR(FIND('112'!$M$9,G1316,1)),"",IF((AND(RIGHT(G1316,2)=RIGHT('112'!$M$9,2),B1316&lt;'112'!$N$8,$M1316='112'!$I$6)),"x",""))</f>
        <v/>
      </c>
      <c r="U1316" s="55" t="str">
        <f>IF(AND('3411-CT'!$F$9=H1316,OR(LEFT(L1316,3)=$U$7,LEFT(M1316,3)=$U$7)),"x","")</f>
        <v/>
      </c>
      <c r="V1316" s="55" t="str">
        <f>IF(OR(TH!L1316=TH!$V$7,M1316=TH!$V$7),"x","")</f>
        <v/>
      </c>
      <c r="W1316" s="55" t="str">
        <f>IF(AND(OR(L1316="131",M1316="131"),H1316='131-CT'!$E$7),"x","")</f>
        <v/>
      </c>
      <c r="X1316" s="55" t="str">
        <f>IF(AND(B1316&gt;='IN-NX'!$P$3,B1316&lt;='IN-NX'!$Q$3,'IN-NX'!$D$7=D1316,OR(LEFT(TH!L1316,2)="15",LEFT(TH!M1316,2)="15")),"x","")</f>
        <v/>
      </c>
      <c r="Y1316" s="55" t="str">
        <f>IF(AND(OR(LEFT(TH!L1316,2)="15",LEFT(TH!M1316,2)="15"),'152-CT'!$J$8=TH!F1316),"x","")</f>
        <v/>
      </c>
      <c r="Z1316" s="55" t="str">
        <f>IF(AND(OR(LEFT(TH!L1316,2)="15",LEFT(TH!M1316,2)="15"),TK!$E$7=TH!F1316),"x","")</f>
        <v/>
      </c>
      <c r="AA1316" s="55" t="str">
        <f>IF(AND(B1316&lt;=NKC!$N$8,B1316&gt;=NKC!$M$8),"x","")</f>
        <v/>
      </c>
    </row>
    <row r="1317" spans="1:29" ht="15.75" customHeight="1">
      <c r="A1317" s="219">
        <f>IF(B1317&lt;&gt;"",IF(AND(B1317&gt;=_TM1,B1317&lt;=_TM2,OR(TH!L1317="1111",TH!M1317="1111")),TH!D1317,""),"")</f>
        <v>0</v>
      </c>
      <c r="B1317" s="36">
        <f t="shared" si="57"/>
        <v>10</v>
      </c>
      <c r="C1317" s="205">
        <f t="shared" si="56"/>
        <v>41199</v>
      </c>
      <c r="D1317" s="205"/>
      <c r="E1317" s="205">
        <v>41199</v>
      </c>
      <c r="F1317" s="206" t="s">
        <v>1185</v>
      </c>
      <c r="G1317" s="581" t="s">
        <v>1494</v>
      </c>
      <c r="H1317" s="207" t="s">
        <v>1207</v>
      </c>
      <c r="I1317" s="277"/>
      <c r="J1317" s="277"/>
      <c r="K1317" s="38">
        <v>139481</v>
      </c>
      <c r="L1317" s="208" t="s">
        <v>49</v>
      </c>
      <c r="M1317" s="208" t="s">
        <v>549</v>
      </c>
      <c r="N1317" s="55" t="str">
        <f>IF(AND('331-CT'!$E$7=TH!H1317,OR(L1317="331",M1317="331")),"x","")</f>
        <v/>
      </c>
      <c r="O1317" s="55" t="str">
        <f>IF(AND($B1317&gt;='111'!$N$11,$B1317&lt;='111'!$O$11,OR($L1317=$O$7,$M1317=$O$7)),"x","")</f>
        <v>x</v>
      </c>
      <c r="P1317" s="55" t="str">
        <f>IF(AND($L1317=$O$7,$B1317&lt;'111'!$N$11),"x","")</f>
        <v/>
      </c>
      <c r="Q1317" s="55" t="str">
        <f>IF(AND($M1317=$O$7,$B1317&lt;'111'!$N$11),"x","")</f>
        <v/>
      </c>
      <c r="R1317" s="55" t="str">
        <f>IF(ISERROR(FIND('112'!$M$9,G1317,1)),"",IF((AND(FIND('112'!$M$9,G1317,1)&gt;=1,$B1317&gt;='112'!$N$8,$B1317&lt;='112'!$O$8,OR($L1317='112'!$I$6,$M1317='112'!$I$6))),"x",""))</f>
        <v/>
      </c>
      <c r="S1317" s="55" t="str">
        <f>IF(ISERROR(FIND('112'!$M$9,G1317,1)),"",IF((AND(LEFT(G1317,2)=LEFT('112'!$M$9,2),B1317&lt;'112'!$N$8,$L1317='112'!$I$6)),"x",""))</f>
        <v/>
      </c>
      <c r="T1317" s="55" t="str">
        <f>IF(ISERROR(FIND('112'!$M$9,G1317,1)),"",IF((AND(RIGHT(G1317,2)=RIGHT('112'!$M$9,2),B1317&lt;'112'!$N$8,$M1317='112'!$I$6)),"x",""))</f>
        <v/>
      </c>
      <c r="U1317" s="55" t="str">
        <f>IF(AND('3411-CT'!$F$9=H1317,OR(LEFT(L1317,3)=$U$7,LEFT(M1317,3)=$U$7)),"x","")</f>
        <v/>
      </c>
      <c r="V1317" s="55" t="str">
        <f>IF(OR(TH!L1317=TH!$V$7,M1317=TH!$V$7),"x","")</f>
        <v/>
      </c>
      <c r="W1317" s="55" t="str">
        <f>IF(AND(OR(L1317="131",M1317="131"),H1317='131-CT'!$E$7),"x","")</f>
        <v/>
      </c>
      <c r="X1317" s="55" t="str">
        <f>IF(AND(B1317&gt;='IN-NX'!$P$3,B1317&lt;='IN-NX'!$Q$3,'IN-NX'!$D$7=D1317,OR(LEFT(TH!L1317,2)="15",LEFT(TH!M1317,2)="15")),"x","")</f>
        <v/>
      </c>
      <c r="Y1317" s="55" t="str">
        <f>IF(AND(OR(LEFT(TH!L1317,2)="15",LEFT(TH!M1317,2)="15"),'152-CT'!$J$8=TH!F1317),"x","")</f>
        <v/>
      </c>
      <c r="Z1317" s="55" t="str">
        <f>IF(AND(OR(LEFT(TH!L1317,2)="15",LEFT(TH!M1317,2)="15"),TK!$E$7=TH!F1317),"x","")</f>
        <v/>
      </c>
      <c r="AA1317" s="55" t="str">
        <f>IF(AND(B1317&lt;=NKC!$N$8,B1317&gt;=NKC!$M$8),"x","")</f>
        <v/>
      </c>
      <c r="AC1317" s="226"/>
    </row>
    <row r="1318" spans="1:29" ht="15.75" customHeight="1">
      <c r="A1318" s="219" t="str">
        <f>IF(B1318&lt;&gt;"",IF(AND(B1318&gt;=_TM1,B1318&lt;=_TM2,OR(TH!L1318="1111",TH!M1318="1111")),TH!D1318,""),"")</f>
        <v/>
      </c>
      <c r="B1318" s="36">
        <f t="shared" si="57"/>
        <v>10</v>
      </c>
      <c r="C1318" s="205">
        <f t="shared" si="56"/>
        <v>41201</v>
      </c>
      <c r="D1318" s="205"/>
      <c r="E1318" s="205">
        <v>41201</v>
      </c>
      <c r="F1318" s="206" t="s">
        <v>1496</v>
      </c>
      <c r="G1318" s="581" t="s">
        <v>1497</v>
      </c>
      <c r="H1318" s="7" t="s">
        <v>1131</v>
      </c>
      <c r="I1318" s="277">
        <v>515</v>
      </c>
      <c r="J1318" s="277">
        <v>16000</v>
      </c>
      <c r="K1318" s="38">
        <f t="shared" si="55"/>
        <v>8240000</v>
      </c>
      <c r="L1318" s="208" t="s">
        <v>311</v>
      </c>
      <c r="M1318" s="208" t="s">
        <v>208</v>
      </c>
      <c r="N1318" s="55" t="str">
        <f>IF(AND('331-CT'!$E$7=TH!H1318,OR(L1318="331",M1318="331")),"x","")</f>
        <v/>
      </c>
      <c r="O1318" s="55" t="str">
        <f>IF(AND($B1318&gt;='111'!$N$11,$B1318&lt;='111'!$O$11,OR($L1318=$O$7,$M1318=$O$7)),"x","")</f>
        <v/>
      </c>
      <c r="P1318" s="55" t="str">
        <f>IF(AND($L1318=$O$7,$B1318&lt;'111'!$N$11),"x","")</f>
        <v/>
      </c>
      <c r="Q1318" s="55" t="str">
        <f>IF(AND($M1318=$O$7,$B1318&lt;'111'!$N$11),"x","")</f>
        <v/>
      </c>
      <c r="R1318" s="55" t="str">
        <f>IF(ISERROR(FIND('112'!$M$9,G1318,1)),"",IF((AND(FIND('112'!$M$9,G1318,1)&gt;=1,$B1318&gt;='112'!$N$8,$B1318&lt;='112'!$O$8,OR($L1318='112'!$I$6,$M1318='112'!$I$6))),"x",""))</f>
        <v/>
      </c>
      <c r="S1318" s="55" t="str">
        <f>IF(ISERROR(FIND('112'!$M$9,G1318,1)),"",IF((AND(LEFT(G1318,2)=LEFT('112'!$M$9,2),B1318&lt;'112'!$N$8,$L1318='112'!$I$6)),"x",""))</f>
        <v/>
      </c>
      <c r="T1318" s="55" t="str">
        <f>IF(ISERROR(FIND('112'!$M$9,G1318,1)),"",IF((AND(RIGHT(G1318,2)=RIGHT('112'!$M$9,2),B1318&lt;'112'!$N$8,$M1318='112'!$I$6)),"x",""))</f>
        <v/>
      </c>
      <c r="U1318" s="55" t="str">
        <f>IF(AND('3411-CT'!$F$9=H1318,OR(LEFT(L1318,3)=$U$7,LEFT(M1318,3)=$U$7)),"x","")</f>
        <v/>
      </c>
      <c r="V1318" s="55" t="str">
        <f>IF(OR(TH!L1318=TH!$V$7,M1318=TH!$V$7),"x","")</f>
        <v/>
      </c>
      <c r="W1318" s="55" t="str">
        <f>IF(AND(OR(L1318="131",M1318="131"),H1318='131-CT'!$E$7),"x","")</f>
        <v/>
      </c>
      <c r="X1318" s="55" t="str">
        <f>IF(AND(B1318&gt;='IN-NX'!$P$3,B1318&lt;='IN-NX'!$Q$3,'IN-NX'!$D$7=D1318,OR(LEFT(TH!L1318,2)="15",LEFT(TH!M1318,2)="15")),"x","")</f>
        <v/>
      </c>
      <c r="Y1318" s="55" t="str">
        <f>IF(AND(OR(LEFT(TH!L1318,2)="15",LEFT(TH!M1318,2)="15"),'152-CT'!$J$8=TH!F1318),"x","")</f>
        <v/>
      </c>
      <c r="Z1318" s="55" t="str">
        <f>IF(AND(OR(LEFT(TH!L1318,2)="15",LEFT(TH!M1318,2)="15"),TK!$E$7=TH!F1318),"x","")</f>
        <v/>
      </c>
      <c r="AA1318" s="55" t="str">
        <f>IF(AND(B1318&lt;=NKC!$N$8,B1318&gt;=NKC!$M$8),"x","")</f>
        <v/>
      </c>
    </row>
    <row r="1319" spans="1:29" ht="15.75" customHeight="1">
      <c r="A1319" s="219" t="str">
        <f>IF(B1319&lt;&gt;"",IF(AND(B1319&gt;=_TM1,B1319&lt;=_TM2,OR(TH!L1319="1111",TH!M1319="1111")),TH!D1319,""),"")</f>
        <v/>
      </c>
      <c r="B1319" s="36">
        <f t="shared" si="57"/>
        <v>10</v>
      </c>
      <c r="C1319" s="205">
        <f t="shared" si="56"/>
        <v>41201</v>
      </c>
      <c r="D1319" s="205"/>
      <c r="E1319" s="205">
        <v>41201</v>
      </c>
      <c r="F1319" s="206" t="s">
        <v>1185</v>
      </c>
      <c r="G1319" s="581" t="s">
        <v>1497</v>
      </c>
      <c r="H1319" s="7" t="s">
        <v>1131</v>
      </c>
      <c r="I1319" s="277"/>
      <c r="J1319" s="277"/>
      <c r="K1319" s="38">
        <v>824000</v>
      </c>
      <c r="L1319" s="208" t="s">
        <v>311</v>
      </c>
      <c r="M1319" s="208" t="s">
        <v>549</v>
      </c>
      <c r="N1319" s="55" t="str">
        <f>IF(AND('331-CT'!$E$7=TH!H1319,OR(L1319="331",M1319="331")),"x","")</f>
        <v/>
      </c>
      <c r="O1319" s="55" t="str">
        <f>IF(AND($B1319&gt;='111'!$N$11,$B1319&lt;='111'!$O$11,OR($L1319=$O$7,$M1319=$O$7)),"x","")</f>
        <v/>
      </c>
      <c r="P1319" s="55" t="str">
        <f>IF(AND($L1319=$O$7,$B1319&lt;'111'!$N$11),"x","")</f>
        <v/>
      </c>
      <c r="Q1319" s="55" t="str">
        <f>IF(AND($M1319=$O$7,$B1319&lt;'111'!$N$11),"x","")</f>
        <v/>
      </c>
      <c r="R1319" s="55" t="str">
        <f>IF(ISERROR(FIND('112'!$M$9,G1319,1)),"",IF((AND(FIND('112'!$M$9,G1319,1)&gt;=1,$B1319&gt;='112'!$N$8,$B1319&lt;='112'!$O$8,OR($L1319='112'!$I$6,$M1319='112'!$I$6))),"x",""))</f>
        <v/>
      </c>
      <c r="S1319" s="55" t="str">
        <f>IF(ISERROR(FIND('112'!$M$9,G1319,1)),"",IF((AND(LEFT(G1319,2)=LEFT('112'!$M$9,2),B1319&lt;'112'!$N$8,$L1319='112'!$I$6)),"x",""))</f>
        <v/>
      </c>
      <c r="T1319" s="55" t="str">
        <f>IF(ISERROR(FIND('112'!$M$9,G1319,1)),"",IF((AND(RIGHT(G1319,2)=RIGHT('112'!$M$9,2),B1319&lt;'112'!$N$8,$M1319='112'!$I$6)),"x",""))</f>
        <v/>
      </c>
      <c r="U1319" s="55" t="str">
        <f>IF(AND('3411-CT'!$F$9=H1319,OR(LEFT(L1319,3)=$U$7,LEFT(M1319,3)=$U$7)),"x","")</f>
        <v/>
      </c>
      <c r="V1319" s="55" t="str">
        <f>IF(OR(TH!L1319=TH!$V$7,M1319=TH!$V$7),"x","")</f>
        <v/>
      </c>
      <c r="W1319" s="55" t="str">
        <f>IF(AND(OR(L1319="131",M1319="131"),H1319='131-CT'!$E$7),"x","")</f>
        <v/>
      </c>
      <c r="X1319" s="55" t="str">
        <f>IF(AND(B1319&gt;='IN-NX'!$P$3,B1319&lt;='IN-NX'!$Q$3,'IN-NX'!$D$7=D1319,OR(LEFT(TH!L1319,2)="15",LEFT(TH!M1319,2)="15")),"x","")</f>
        <v/>
      </c>
      <c r="Y1319" s="55" t="str">
        <f>IF(AND(OR(LEFT(TH!L1319,2)="15",LEFT(TH!M1319,2)="15"),'152-CT'!$J$8=TH!F1319),"x","")</f>
        <v/>
      </c>
      <c r="Z1319" s="55" t="str">
        <f>IF(AND(OR(LEFT(TH!L1319,2)="15",LEFT(TH!M1319,2)="15"),TK!$E$7=TH!F1319),"x","")</f>
        <v/>
      </c>
      <c r="AA1319" s="55" t="str">
        <f>IF(AND(B1319&lt;=NKC!$N$8,B1319&gt;=NKC!$M$8),"x","")</f>
        <v/>
      </c>
      <c r="AC1319" s="226"/>
    </row>
    <row r="1320" spans="1:29" ht="15.75" customHeight="1">
      <c r="A1320" s="219">
        <f>IF(B1320&lt;&gt;"",IF(AND(B1320&gt;=_TM1,B1320&lt;=_TM2,OR(TH!L1320="1111",TH!M1320="1111")),TH!D1320,""),"")</f>
        <v>0</v>
      </c>
      <c r="B1320" s="36">
        <f t="shared" si="57"/>
        <v>10</v>
      </c>
      <c r="C1320" s="205">
        <f t="shared" si="56"/>
        <v>41201</v>
      </c>
      <c r="D1320" s="205"/>
      <c r="E1320" s="205">
        <v>41201</v>
      </c>
      <c r="F1320" s="206" t="s">
        <v>1498</v>
      </c>
      <c r="G1320" s="581" t="s">
        <v>1499</v>
      </c>
      <c r="H1320" s="207" t="s">
        <v>1370</v>
      </c>
      <c r="I1320" s="277">
        <v>1036</v>
      </c>
      <c r="J1320" s="277">
        <v>6700</v>
      </c>
      <c r="K1320" s="38">
        <f t="shared" si="55"/>
        <v>6941200</v>
      </c>
      <c r="L1320" s="208" t="s">
        <v>49</v>
      </c>
      <c r="M1320" s="208" t="s">
        <v>208</v>
      </c>
      <c r="N1320" s="55" t="str">
        <f>IF(AND('331-CT'!$E$7=TH!H1320,OR(L1320="331",M1320="331")),"x","")</f>
        <v/>
      </c>
      <c r="O1320" s="55" t="str">
        <f>IF(AND($B1320&gt;='111'!$N$11,$B1320&lt;='111'!$O$11,OR($L1320=$O$7,$M1320=$O$7)),"x","")</f>
        <v>x</v>
      </c>
      <c r="P1320" s="55" t="str">
        <f>IF(AND($L1320=$O$7,$B1320&lt;'111'!$N$11),"x","")</f>
        <v/>
      </c>
      <c r="Q1320" s="55" t="str">
        <f>IF(AND($M1320=$O$7,$B1320&lt;'111'!$N$11),"x","")</f>
        <v/>
      </c>
      <c r="R1320" s="55" t="str">
        <f>IF(ISERROR(FIND('112'!$M$9,G1320,1)),"",IF((AND(FIND('112'!$M$9,G1320,1)&gt;=1,$B1320&gt;='112'!$N$8,$B1320&lt;='112'!$O$8,OR($L1320='112'!$I$6,$M1320='112'!$I$6))),"x",""))</f>
        <v/>
      </c>
      <c r="S1320" s="55" t="str">
        <f>IF(ISERROR(FIND('112'!$M$9,G1320,1)),"",IF((AND(LEFT(G1320,2)=LEFT('112'!$M$9,2),B1320&lt;'112'!$N$8,$L1320='112'!$I$6)),"x",""))</f>
        <v/>
      </c>
      <c r="T1320" s="55" t="str">
        <f>IF(ISERROR(FIND('112'!$M$9,G1320,1)),"",IF((AND(RIGHT(G1320,2)=RIGHT('112'!$M$9,2),B1320&lt;'112'!$N$8,$M1320='112'!$I$6)),"x",""))</f>
        <v/>
      </c>
      <c r="U1320" s="55" t="str">
        <f>IF(AND('3411-CT'!$F$9=H1320,OR(LEFT(L1320,3)=$U$7,LEFT(M1320,3)=$U$7)),"x","")</f>
        <v/>
      </c>
      <c r="V1320" s="55" t="str">
        <f>IF(OR(TH!L1320=TH!$V$7,M1320=TH!$V$7),"x","")</f>
        <v/>
      </c>
      <c r="W1320" s="55" t="str">
        <f>IF(AND(OR(L1320="131",M1320="131"),H1320='131-CT'!$E$7),"x","")</f>
        <v/>
      </c>
      <c r="X1320" s="55" t="str">
        <f>IF(AND(B1320&gt;='IN-NX'!$P$3,B1320&lt;='IN-NX'!$Q$3,'IN-NX'!$D$7=D1320,OR(LEFT(TH!L1320,2)="15",LEFT(TH!M1320,2)="15")),"x","")</f>
        <v/>
      </c>
      <c r="Y1320" s="55" t="str">
        <f>IF(AND(OR(LEFT(TH!L1320,2)="15",LEFT(TH!M1320,2)="15"),'152-CT'!$J$8=TH!F1320),"x","")</f>
        <v/>
      </c>
      <c r="Z1320" s="55" t="str">
        <f>IF(AND(OR(LEFT(TH!L1320,2)="15",LEFT(TH!M1320,2)="15"),TK!$E$7=TH!F1320),"x","")</f>
        <v/>
      </c>
      <c r="AA1320" s="55" t="str">
        <f>IF(AND(B1320&lt;=NKC!$N$8,B1320&gt;=NKC!$M$8),"x","")</f>
        <v/>
      </c>
    </row>
    <row r="1321" spans="1:29" ht="15.75" customHeight="1">
      <c r="A1321" s="219">
        <f>IF(B1321&lt;&gt;"",IF(AND(B1321&gt;=_TM1,B1321&lt;=_TM2,OR(TH!L1321="1111",TH!M1321="1111")),TH!D1321,""),"")</f>
        <v>0</v>
      </c>
      <c r="B1321" s="36">
        <f t="shared" si="57"/>
        <v>10</v>
      </c>
      <c r="C1321" s="205">
        <f t="shared" si="56"/>
        <v>41201</v>
      </c>
      <c r="D1321" s="205"/>
      <c r="E1321" s="205">
        <v>41201</v>
      </c>
      <c r="F1321" s="206" t="s">
        <v>1185</v>
      </c>
      <c r="G1321" s="581" t="s">
        <v>1499</v>
      </c>
      <c r="H1321" s="207" t="s">
        <v>1370</v>
      </c>
      <c r="I1321" s="277"/>
      <c r="J1321" s="277"/>
      <c r="K1321" s="38">
        <v>694120</v>
      </c>
      <c r="L1321" s="208" t="s">
        <v>49</v>
      </c>
      <c r="M1321" s="208" t="s">
        <v>549</v>
      </c>
      <c r="N1321" s="55" t="str">
        <f>IF(AND('331-CT'!$E$7=TH!H1321,OR(L1321="331",M1321="331")),"x","")</f>
        <v/>
      </c>
      <c r="O1321" s="55" t="str">
        <f>IF(AND($B1321&gt;='111'!$N$11,$B1321&lt;='111'!$O$11,OR($L1321=$O$7,$M1321=$O$7)),"x","")</f>
        <v>x</v>
      </c>
      <c r="P1321" s="55" t="str">
        <f>IF(AND($L1321=$O$7,$B1321&lt;'111'!$N$11),"x","")</f>
        <v/>
      </c>
      <c r="Q1321" s="55" t="str">
        <f>IF(AND($M1321=$O$7,$B1321&lt;'111'!$N$11),"x","")</f>
        <v/>
      </c>
      <c r="R1321" s="55" t="str">
        <f>IF(ISERROR(FIND('112'!$M$9,G1321,1)),"",IF((AND(FIND('112'!$M$9,G1321,1)&gt;=1,$B1321&gt;='112'!$N$8,$B1321&lt;='112'!$O$8,OR($L1321='112'!$I$6,$M1321='112'!$I$6))),"x",""))</f>
        <v/>
      </c>
      <c r="S1321" s="55" t="str">
        <f>IF(ISERROR(FIND('112'!$M$9,G1321,1)),"",IF((AND(LEFT(G1321,2)=LEFT('112'!$M$9,2),B1321&lt;'112'!$N$8,$L1321='112'!$I$6)),"x",""))</f>
        <v/>
      </c>
      <c r="T1321" s="55" t="str">
        <f>IF(ISERROR(FIND('112'!$M$9,G1321,1)),"",IF((AND(RIGHT(G1321,2)=RIGHT('112'!$M$9,2),B1321&lt;'112'!$N$8,$M1321='112'!$I$6)),"x",""))</f>
        <v/>
      </c>
      <c r="U1321" s="55" t="str">
        <f>IF(AND('3411-CT'!$F$9=H1321,OR(LEFT(L1321,3)=$U$7,LEFT(M1321,3)=$U$7)),"x","")</f>
        <v/>
      </c>
      <c r="V1321" s="55" t="str">
        <f>IF(OR(TH!L1321=TH!$V$7,M1321=TH!$V$7),"x","")</f>
        <v/>
      </c>
      <c r="W1321" s="55" t="str">
        <f>IF(AND(OR(L1321="131",M1321="131"),H1321='131-CT'!$E$7),"x","")</f>
        <v/>
      </c>
      <c r="X1321" s="55" t="str">
        <f>IF(AND(B1321&gt;='IN-NX'!$P$3,B1321&lt;='IN-NX'!$Q$3,'IN-NX'!$D$7=D1321,OR(LEFT(TH!L1321,2)="15",LEFT(TH!M1321,2)="15")),"x","")</f>
        <v/>
      </c>
      <c r="Y1321" s="55" t="str">
        <f>IF(AND(OR(LEFT(TH!L1321,2)="15",LEFT(TH!M1321,2)="15"),'152-CT'!$J$8=TH!F1321),"x","")</f>
        <v/>
      </c>
      <c r="Z1321" s="55" t="str">
        <f>IF(AND(OR(LEFT(TH!L1321,2)="15",LEFT(TH!M1321,2)="15"),TK!$E$7=TH!F1321),"x","")</f>
        <v/>
      </c>
      <c r="AA1321" s="55" t="str">
        <f>IF(AND(B1321&lt;=NKC!$N$8,B1321&gt;=NKC!$M$8),"x","")</f>
        <v/>
      </c>
      <c r="AC1321" s="226"/>
    </row>
    <row r="1322" spans="1:29" ht="15.75" customHeight="1">
      <c r="A1322" s="219" t="str">
        <f>IF(B1322&lt;&gt;"",IF(AND(B1322&gt;=_TM1,B1322&lt;=_TM2,OR(TH!L1322="1111",TH!M1322="1111")),TH!D1322,""),"")</f>
        <v/>
      </c>
      <c r="B1322" s="36">
        <f t="shared" si="57"/>
        <v>10</v>
      </c>
      <c r="C1322" s="205">
        <f t="shared" si="56"/>
        <v>41205</v>
      </c>
      <c r="D1322" s="205"/>
      <c r="E1322" s="205">
        <v>41205</v>
      </c>
      <c r="F1322" s="206" t="s">
        <v>1500</v>
      </c>
      <c r="G1322" s="581" t="s">
        <v>1501</v>
      </c>
      <c r="H1322" s="207" t="s">
        <v>1146</v>
      </c>
      <c r="I1322" s="277">
        <v>1020</v>
      </c>
      <c r="J1322" s="277">
        <v>8740</v>
      </c>
      <c r="K1322" s="38">
        <f t="shared" si="55"/>
        <v>8914800</v>
      </c>
      <c r="L1322" s="208" t="s">
        <v>311</v>
      </c>
      <c r="M1322" s="208" t="s">
        <v>208</v>
      </c>
      <c r="N1322" s="55" t="str">
        <f>IF(AND('331-CT'!$E$7=TH!H1322,OR(L1322="331",M1322="331")),"x","")</f>
        <v/>
      </c>
      <c r="O1322" s="55" t="str">
        <f>IF(AND($B1322&gt;='111'!$N$11,$B1322&lt;='111'!$O$11,OR($L1322=$O$7,$M1322=$O$7)),"x","")</f>
        <v/>
      </c>
      <c r="P1322" s="55" t="str">
        <f>IF(AND($L1322=$O$7,$B1322&lt;'111'!$N$11),"x","")</f>
        <v/>
      </c>
      <c r="Q1322" s="55" t="str">
        <f>IF(AND($M1322=$O$7,$B1322&lt;'111'!$N$11),"x","")</f>
        <v/>
      </c>
      <c r="R1322" s="55" t="str">
        <f>IF(ISERROR(FIND('112'!$M$9,G1322,1)),"",IF((AND(FIND('112'!$M$9,G1322,1)&gt;=1,$B1322&gt;='112'!$N$8,$B1322&lt;='112'!$O$8,OR($L1322='112'!$I$6,$M1322='112'!$I$6))),"x",""))</f>
        <v/>
      </c>
      <c r="S1322" s="55" t="str">
        <f>IF(ISERROR(FIND('112'!$M$9,G1322,1)),"",IF((AND(LEFT(G1322,2)=LEFT('112'!$M$9,2),B1322&lt;'112'!$N$8,$L1322='112'!$I$6)),"x",""))</f>
        <v/>
      </c>
      <c r="T1322" s="55" t="str">
        <f>IF(ISERROR(FIND('112'!$M$9,G1322,1)),"",IF((AND(RIGHT(G1322,2)=RIGHT('112'!$M$9,2),B1322&lt;'112'!$N$8,$M1322='112'!$I$6)),"x",""))</f>
        <v/>
      </c>
      <c r="U1322" s="55" t="str">
        <f>IF(AND('3411-CT'!$F$9=H1322,OR(LEFT(L1322,3)=$U$7,LEFT(M1322,3)=$U$7)),"x","")</f>
        <v/>
      </c>
      <c r="V1322" s="55" t="str">
        <f>IF(OR(TH!L1322=TH!$V$7,M1322=TH!$V$7),"x","")</f>
        <v/>
      </c>
      <c r="W1322" s="55" t="str">
        <f>IF(AND(OR(L1322="131",M1322="131"),H1322='131-CT'!$E$7),"x","")</f>
        <v/>
      </c>
      <c r="X1322" s="55" t="str">
        <f>IF(AND(B1322&gt;='IN-NX'!$P$3,B1322&lt;='IN-NX'!$Q$3,'IN-NX'!$D$7=D1322,OR(LEFT(TH!L1322,2)="15",LEFT(TH!M1322,2)="15")),"x","")</f>
        <v/>
      </c>
      <c r="Y1322" s="55" t="str">
        <f>IF(AND(OR(LEFT(TH!L1322,2)="15",LEFT(TH!M1322,2)="15"),'152-CT'!$J$8=TH!F1322),"x","")</f>
        <v/>
      </c>
      <c r="Z1322" s="55" t="str">
        <f>IF(AND(OR(LEFT(TH!L1322,2)="15",LEFT(TH!M1322,2)="15"),TK!$E$7=TH!F1322),"x","")</f>
        <v/>
      </c>
      <c r="AA1322" s="55" t="str">
        <f>IF(AND(B1322&lt;=NKC!$N$8,B1322&gt;=NKC!$M$8),"x","")</f>
        <v/>
      </c>
    </row>
    <row r="1323" spans="1:29" ht="15.75" customHeight="1">
      <c r="A1323" s="219" t="str">
        <f>IF(B1323&lt;&gt;"",IF(AND(B1323&gt;=_TM1,B1323&lt;=_TM2,OR(TH!L1323="1111",TH!M1323="1111")),TH!D1323,""),"")</f>
        <v/>
      </c>
      <c r="B1323" s="36">
        <f t="shared" si="57"/>
        <v>10</v>
      </c>
      <c r="C1323" s="205">
        <f t="shared" si="56"/>
        <v>41205</v>
      </c>
      <c r="D1323" s="205"/>
      <c r="E1323" s="205">
        <v>41205</v>
      </c>
      <c r="F1323" s="206" t="s">
        <v>1185</v>
      </c>
      <c r="G1323" s="581" t="s">
        <v>1501</v>
      </c>
      <c r="H1323" s="207" t="s">
        <v>1146</v>
      </c>
      <c r="I1323" s="277"/>
      <c r="J1323" s="277"/>
      <c r="K1323" s="38">
        <v>891480</v>
      </c>
      <c r="L1323" s="208" t="s">
        <v>311</v>
      </c>
      <c r="M1323" s="208" t="s">
        <v>549</v>
      </c>
      <c r="N1323" s="55" t="str">
        <f>IF(AND('331-CT'!$E$7=TH!H1323,OR(L1323="331",M1323="331")),"x","")</f>
        <v/>
      </c>
      <c r="O1323" s="55" t="str">
        <f>IF(AND($B1323&gt;='111'!$N$11,$B1323&lt;='111'!$O$11,OR($L1323=$O$7,$M1323=$O$7)),"x","")</f>
        <v/>
      </c>
      <c r="P1323" s="55" t="str">
        <f>IF(AND($L1323=$O$7,$B1323&lt;'111'!$N$11),"x","")</f>
        <v/>
      </c>
      <c r="Q1323" s="55" t="str">
        <f>IF(AND($M1323=$O$7,$B1323&lt;'111'!$N$11),"x","")</f>
        <v/>
      </c>
      <c r="R1323" s="55" t="str">
        <f>IF(ISERROR(FIND('112'!$M$9,G1323,1)),"",IF((AND(FIND('112'!$M$9,G1323,1)&gt;=1,$B1323&gt;='112'!$N$8,$B1323&lt;='112'!$O$8,OR($L1323='112'!$I$6,$M1323='112'!$I$6))),"x",""))</f>
        <v/>
      </c>
      <c r="S1323" s="55" t="str">
        <f>IF(ISERROR(FIND('112'!$M$9,G1323,1)),"",IF((AND(LEFT(G1323,2)=LEFT('112'!$M$9,2),B1323&lt;'112'!$N$8,$L1323='112'!$I$6)),"x",""))</f>
        <v/>
      </c>
      <c r="T1323" s="55" t="str">
        <f>IF(ISERROR(FIND('112'!$M$9,G1323,1)),"",IF((AND(RIGHT(G1323,2)=RIGHT('112'!$M$9,2),B1323&lt;'112'!$N$8,$M1323='112'!$I$6)),"x",""))</f>
        <v/>
      </c>
      <c r="U1323" s="55" t="str">
        <f>IF(AND('3411-CT'!$F$9=H1323,OR(LEFT(L1323,3)=$U$7,LEFT(M1323,3)=$U$7)),"x","")</f>
        <v/>
      </c>
      <c r="V1323" s="55" t="str">
        <f>IF(OR(TH!L1323=TH!$V$7,M1323=TH!$V$7),"x","")</f>
        <v/>
      </c>
      <c r="W1323" s="55" t="str">
        <f>IF(AND(OR(L1323="131",M1323="131"),H1323='131-CT'!$E$7),"x","")</f>
        <v/>
      </c>
      <c r="X1323" s="55" t="str">
        <f>IF(AND(B1323&gt;='IN-NX'!$P$3,B1323&lt;='IN-NX'!$Q$3,'IN-NX'!$D$7=D1323,OR(LEFT(TH!L1323,2)="15",LEFT(TH!M1323,2)="15")),"x","")</f>
        <v/>
      </c>
      <c r="Y1323" s="55" t="str">
        <f>IF(AND(OR(LEFT(TH!L1323,2)="15",LEFT(TH!M1323,2)="15"),'152-CT'!$J$8=TH!F1323),"x","")</f>
        <v/>
      </c>
      <c r="Z1323" s="55" t="str">
        <f>IF(AND(OR(LEFT(TH!L1323,2)="15",LEFT(TH!M1323,2)="15"),TK!$E$7=TH!F1323),"x","")</f>
        <v/>
      </c>
      <c r="AA1323" s="55" t="str">
        <f>IF(AND(B1323&lt;=NKC!$N$8,B1323&gt;=NKC!$M$8),"x","")</f>
        <v/>
      </c>
      <c r="AC1323" s="226"/>
    </row>
    <row r="1324" spans="1:29" ht="15.75" customHeight="1">
      <c r="A1324" s="219" t="str">
        <f>IF(B1324&lt;&gt;"",IF(AND(B1324&gt;=_TM1,B1324&lt;=_TM2,OR(TH!L1324="1111",TH!M1324="1111")),TH!D1324,""),"")</f>
        <v/>
      </c>
      <c r="B1324" s="36">
        <f t="shared" si="57"/>
        <v>10</v>
      </c>
      <c r="C1324" s="205">
        <f t="shared" si="56"/>
        <v>41205</v>
      </c>
      <c r="D1324" s="205"/>
      <c r="E1324" s="205">
        <v>41205</v>
      </c>
      <c r="F1324" s="206" t="s">
        <v>1296</v>
      </c>
      <c r="G1324" s="581" t="s">
        <v>1502</v>
      </c>
      <c r="H1324" s="7" t="s">
        <v>416</v>
      </c>
      <c r="I1324" s="277">
        <v>1350</v>
      </c>
      <c r="J1324" s="277">
        <v>6000</v>
      </c>
      <c r="K1324" s="38">
        <f t="shared" si="55"/>
        <v>8100000</v>
      </c>
      <c r="L1324" s="208" t="s">
        <v>311</v>
      </c>
      <c r="M1324" s="208" t="s">
        <v>208</v>
      </c>
      <c r="N1324" s="55" t="str">
        <f>IF(AND('331-CT'!$E$7=TH!H1324,OR(L1324="331",M1324="331")),"x","")</f>
        <v/>
      </c>
      <c r="O1324" s="55" t="str">
        <f>IF(AND($B1324&gt;='111'!$N$11,$B1324&lt;='111'!$O$11,OR($L1324=$O$7,$M1324=$O$7)),"x","")</f>
        <v/>
      </c>
      <c r="P1324" s="55" t="str">
        <f>IF(AND($L1324=$O$7,$B1324&lt;'111'!$N$11),"x","")</f>
        <v/>
      </c>
      <c r="Q1324" s="55" t="str">
        <f>IF(AND($M1324=$O$7,$B1324&lt;'111'!$N$11),"x","")</f>
        <v/>
      </c>
      <c r="R1324" s="55" t="str">
        <f>IF(ISERROR(FIND('112'!$M$9,G1324,1)),"",IF((AND(FIND('112'!$M$9,G1324,1)&gt;=1,$B1324&gt;='112'!$N$8,$B1324&lt;='112'!$O$8,OR($L1324='112'!$I$6,$M1324='112'!$I$6))),"x",""))</f>
        <v/>
      </c>
      <c r="S1324" s="55" t="str">
        <f>IF(ISERROR(FIND('112'!$M$9,G1324,1)),"",IF((AND(LEFT(G1324,2)=LEFT('112'!$M$9,2),B1324&lt;'112'!$N$8,$L1324='112'!$I$6)),"x",""))</f>
        <v/>
      </c>
      <c r="T1324" s="55" t="str">
        <f>IF(ISERROR(FIND('112'!$M$9,G1324,1)),"",IF((AND(RIGHT(G1324,2)=RIGHT('112'!$M$9,2),B1324&lt;'112'!$N$8,$M1324='112'!$I$6)),"x",""))</f>
        <v/>
      </c>
      <c r="U1324" s="55" t="str">
        <f>IF(AND('3411-CT'!$F$9=H1324,OR(LEFT(L1324,3)=$U$7,LEFT(M1324,3)=$U$7)),"x","")</f>
        <v/>
      </c>
      <c r="V1324" s="55" t="str">
        <f>IF(OR(TH!L1324=TH!$V$7,M1324=TH!$V$7),"x","")</f>
        <v/>
      </c>
      <c r="W1324" s="55" t="str">
        <f>IF(AND(OR(L1324="131",M1324="131"),H1324='131-CT'!$E$7),"x","")</f>
        <v/>
      </c>
      <c r="X1324" s="55" t="str">
        <f>IF(AND(B1324&gt;='IN-NX'!$P$3,B1324&lt;='IN-NX'!$Q$3,'IN-NX'!$D$7=D1324,OR(LEFT(TH!L1324,2)="15",LEFT(TH!M1324,2)="15")),"x","")</f>
        <v/>
      </c>
      <c r="Y1324" s="55" t="str">
        <f>IF(AND(OR(LEFT(TH!L1324,2)="15",LEFT(TH!M1324,2)="15"),'152-CT'!$J$8=TH!F1324),"x","")</f>
        <v/>
      </c>
      <c r="Z1324" s="55" t="str">
        <f>IF(AND(OR(LEFT(TH!L1324,2)="15",LEFT(TH!M1324,2)="15"),TK!$E$7=TH!F1324),"x","")</f>
        <v/>
      </c>
      <c r="AA1324" s="55" t="str">
        <f>IF(AND(B1324&lt;=NKC!$N$8,B1324&gt;=NKC!$M$8),"x","")</f>
        <v/>
      </c>
    </row>
    <row r="1325" spans="1:29" ht="15.75" customHeight="1">
      <c r="A1325" s="219" t="str">
        <f>IF(B1325&lt;&gt;"",IF(AND(B1325&gt;=_TM1,B1325&lt;=_TM2,OR(TH!L1325="1111",TH!M1325="1111")),TH!D1325,""),"")</f>
        <v/>
      </c>
      <c r="B1325" s="36">
        <f t="shared" si="57"/>
        <v>10</v>
      </c>
      <c r="C1325" s="205">
        <f t="shared" si="56"/>
        <v>41205</v>
      </c>
      <c r="D1325" s="205"/>
      <c r="E1325" s="205">
        <v>41205</v>
      </c>
      <c r="F1325" s="206" t="s">
        <v>1300</v>
      </c>
      <c r="G1325" s="581" t="s">
        <v>1502</v>
      </c>
      <c r="H1325" s="7" t="s">
        <v>416</v>
      </c>
      <c r="I1325" s="277">
        <v>617</v>
      </c>
      <c r="J1325" s="277">
        <v>9400</v>
      </c>
      <c r="K1325" s="38">
        <f t="shared" si="55"/>
        <v>5799800</v>
      </c>
      <c r="L1325" s="208" t="s">
        <v>311</v>
      </c>
      <c r="M1325" s="208" t="s">
        <v>208</v>
      </c>
      <c r="N1325" s="55" t="str">
        <f>IF(AND('331-CT'!$E$7=TH!H1325,OR(L1325="331",M1325="331")),"x","")</f>
        <v/>
      </c>
      <c r="O1325" s="55" t="str">
        <f>IF(AND($B1325&gt;='111'!$N$11,$B1325&lt;='111'!$O$11,OR($L1325=$O$7,$M1325=$O$7)),"x","")</f>
        <v/>
      </c>
      <c r="P1325" s="55" t="str">
        <f>IF(AND($L1325=$O$7,$B1325&lt;'111'!$N$11),"x","")</f>
        <v/>
      </c>
      <c r="Q1325" s="55" t="str">
        <f>IF(AND($M1325=$O$7,$B1325&lt;'111'!$N$11),"x","")</f>
        <v/>
      </c>
      <c r="R1325" s="55" t="str">
        <f>IF(ISERROR(FIND('112'!$M$9,G1325,1)),"",IF((AND(FIND('112'!$M$9,G1325,1)&gt;=1,$B1325&gt;='112'!$N$8,$B1325&lt;='112'!$O$8,OR($L1325='112'!$I$6,$M1325='112'!$I$6))),"x",""))</f>
        <v/>
      </c>
      <c r="S1325" s="55" t="str">
        <f>IF(ISERROR(FIND('112'!$M$9,G1325,1)),"",IF((AND(LEFT(G1325,2)=LEFT('112'!$M$9,2),B1325&lt;'112'!$N$8,$L1325='112'!$I$6)),"x",""))</f>
        <v/>
      </c>
      <c r="T1325" s="55" t="str">
        <f>IF(ISERROR(FIND('112'!$M$9,G1325,1)),"",IF((AND(RIGHT(G1325,2)=RIGHT('112'!$M$9,2),B1325&lt;'112'!$N$8,$M1325='112'!$I$6)),"x",""))</f>
        <v/>
      </c>
      <c r="U1325" s="55" t="str">
        <f>IF(AND('3411-CT'!$F$9=H1325,OR(LEFT(L1325,3)=$U$7,LEFT(M1325,3)=$U$7)),"x","")</f>
        <v/>
      </c>
      <c r="V1325" s="55" t="str">
        <f>IF(OR(TH!L1325=TH!$V$7,M1325=TH!$V$7),"x","")</f>
        <v/>
      </c>
      <c r="W1325" s="55" t="str">
        <f>IF(AND(OR(L1325="131",M1325="131"),H1325='131-CT'!$E$7),"x","")</f>
        <v/>
      </c>
      <c r="X1325" s="55" t="str">
        <f>IF(AND(B1325&gt;='IN-NX'!$P$3,B1325&lt;='IN-NX'!$Q$3,'IN-NX'!$D$7=D1325,OR(LEFT(TH!L1325,2)="15",LEFT(TH!M1325,2)="15")),"x","")</f>
        <v/>
      </c>
      <c r="Y1325" s="55" t="str">
        <f>IF(AND(OR(LEFT(TH!L1325,2)="15",LEFT(TH!M1325,2)="15"),'152-CT'!$J$8=TH!F1325),"x","")</f>
        <v/>
      </c>
      <c r="Z1325" s="55" t="str">
        <f>IF(AND(OR(LEFT(TH!L1325,2)="15",LEFT(TH!M1325,2)="15"),TK!$E$7=TH!F1325),"x","")</f>
        <v/>
      </c>
      <c r="AA1325" s="55" t="str">
        <f>IF(AND(B1325&lt;=NKC!$N$8,B1325&gt;=NKC!$M$8),"x","")</f>
        <v/>
      </c>
    </row>
    <row r="1326" spans="1:29" ht="15.75" customHeight="1">
      <c r="A1326" s="219" t="str">
        <f>IF(B1326&lt;&gt;"",IF(AND(B1326&gt;=_TM1,B1326&lt;=_TM2,OR(TH!L1326="1111",TH!M1326="1111")),TH!D1326,""),"")</f>
        <v/>
      </c>
      <c r="B1326" s="36">
        <f t="shared" si="57"/>
        <v>10</v>
      </c>
      <c r="C1326" s="205">
        <f t="shared" si="56"/>
        <v>41205</v>
      </c>
      <c r="D1326" s="205"/>
      <c r="E1326" s="205">
        <v>41205</v>
      </c>
      <c r="F1326" s="206" t="s">
        <v>1503</v>
      </c>
      <c r="G1326" s="581" t="s">
        <v>1502</v>
      </c>
      <c r="H1326" s="7" t="s">
        <v>416</v>
      </c>
      <c r="I1326" s="277">
        <v>293</v>
      </c>
      <c r="J1326" s="277">
        <v>6000</v>
      </c>
      <c r="K1326" s="38">
        <f t="shared" si="55"/>
        <v>1758000</v>
      </c>
      <c r="L1326" s="208" t="s">
        <v>311</v>
      </c>
      <c r="M1326" s="208" t="s">
        <v>208</v>
      </c>
      <c r="N1326" s="55" t="str">
        <f>IF(AND('331-CT'!$E$7=TH!H1326,OR(L1326="331",M1326="331")),"x","")</f>
        <v/>
      </c>
      <c r="O1326" s="55" t="str">
        <f>IF(AND($B1326&gt;='111'!$N$11,$B1326&lt;='111'!$O$11,OR($L1326=$O$7,$M1326=$O$7)),"x","")</f>
        <v/>
      </c>
      <c r="P1326" s="55" t="str">
        <f>IF(AND($L1326=$O$7,$B1326&lt;'111'!$N$11),"x","")</f>
        <v/>
      </c>
      <c r="Q1326" s="55" t="str">
        <f>IF(AND($M1326=$O$7,$B1326&lt;'111'!$N$11),"x","")</f>
        <v/>
      </c>
      <c r="R1326" s="55" t="str">
        <f>IF(ISERROR(FIND('112'!$M$9,G1326,1)),"",IF((AND(FIND('112'!$M$9,G1326,1)&gt;=1,$B1326&gt;='112'!$N$8,$B1326&lt;='112'!$O$8,OR($L1326='112'!$I$6,$M1326='112'!$I$6))),"x",""))</f>
        <v/>
      </c>
      <c r="S1326" s="55" t="str">
        <f>IF(ISERROR(FIND('112'!$M$9,G1326,1)),"",IF((AND(LEFT(G1326,2)=LEFT('112'!$M$9,2),B1326&lt;'112'!$N$8,$L1326='112'!$I$6)),"x",""))</f>
        <v/>
      </c>
      <c r="T1326" s="55" t="str">
        <f>IF(ISERROR(FIND('112'!$M$9,G1326,1)),"",IF((AND(RIGHT(G1326,2)=RIGHT('112'!$M$9,2),B1326&lt;'112'!$N$8,$M1326='112'!$I$6)),"x",""))</f>
        <v/>
      </c>
      <c r="U1326" s="55" t="str">
        <f>IF(AND('3411-CT'!$F$9=H1326,OR(LEFT(L1326,3)=$U$7,LEFT(M1326,3)=$U$7)),"x","")</f>
        <v/>
      </c>
      <c r="V1326" s="55" t="str">
        <f>IF(OR(TH!L1326=TH!$V$7,M1326=TH!$V$7),"x","")</f>
        <v/>
      </c>
      <c r="W1326" s="55" t="str">
        <f>IF(AND(OR(L1326="131",M1326="131"),H1326='131-CT'!$E$7),"x","")</f>
        <v/>
      </c>
      <c r="X1326" s="55" t="str">
        <f>IF(AND(B1326&gt;='IN-NX'!$P$3,B1326&lt;='IN-NX'!$Q$3,'IN-NX'!$D$7=D1326,OR(LEFT(TH!L1326,2)="15",LEFT(TH!M1326,2)="15")),"x","")</f>
        <v/>
      </c>
      <c r="Y1326" s="55" t="str">
        <f>IF(AND(OR(LEFT(TH!L1326,2)="15",LEFT(TH!M1326,2)="15"),'152-CT'!$J$8=TH!F1326),"x","")</f>
        <v/>
      </c>
      <c r="Z1326" s="55" t="str">
        <f>IF(AND(OR(LEFT(TH!L1326,2)="15",LEFT(TH!M1326,2)="15"),TK!$E$7=TH!F1326),"x","")</f>
        <v/>
      </c>
      <c r="AA1326" s="55" t="str">
        <f>IF(AND(B1326&lt;=NKC!$N$8,B1326&gt;=NKC!$M$8),"x","")</f>
        <v/>
      </c>
    </row>
    <row r="1327" spans="1:29" ht="15.75" customHeight="1">
      <c r="A1327" s="219" t="str">
        <f>IF(B1327&lt;&gt;"",IF(AND(B1327&gt;=_TM1,B1327&lt;=_TM2,OR(TH!L1327="1111",TH!M1327="1111")),TH!D1327,""),"")</f>
        <v/>
      </c>
      <c r="B1327" s="36">
        <f t="shared" si="57"/>
        <v>10</v>
      </c>
      <c r="C1327" s="205">
        <f t="shared" si="56"/>
        <v>41205</v>
      </c>
      <c r="D1327" s="205"/>
      <c r="E1327" s="205">
        <v>41205</v>
      </c>
      <c r="F1327" s="206" t="s">
        <v>1504</v>
      </c>
      <c r="G1327" s="581" t="s">
        <v>1502</v>
      </c>
      <c r="H1327" s="7" t="s">
        <v>416</v>
      </c>
      <c r="I1327" s="277">
        <v>500</v>
      </c>
      <c r="J1327" s="277">
        <v>10300</v>
      </c>
      <c r="K1327" s="38">
        <f t="shared" si="55"/>
        <v>5150000</v>
      </c>
      <c r="L1327" s="208" t="s">
        <v>311</v>
      </c>
      <c r="M1327" s="208" t="s">
        <v>208</v>
      </c>
      <c r="N1327" s="55" t="str">
        <f>IF(AND('331-CT'!$E$7=TH!H1327,OR(L1327="331",M1327="331")),"x","")</f>
        <v/>
      </c>
      <c r="O1327" s="55" t="str">
        <f>IF(AND($B1327&gt;='111'!$N$11,$B1327&lt;='111'!$O$11,OR($L1327=$O$7,$M1327=$O$7)),"x","")</f>
        <v/>
      </c>
      <c r="P1327" s="55" t="str">
        <f>IF(AND($L1327=$O$7,$B1327&lt;'111'!$N$11),"x","")</f>
        <v/>
      </c>
      <c r="Q1327" s="55" t="str">
        <f>IF(AND($M1327=$O$7,$B1327&lt;'111'!$N$11),"x","")</f>
        <v/>
      </c>
      <c r="R1327" s="55" t="str">
        <f>IF(ISERROR(FIND('112'!$M$9,G1327,1)),"",IF((AND(FIND('112'!$M$9,G1327,1)&gt;=1,$B1327&gt;='112'!$N$8,$B1327&lt;='112'!$O$8,OR($L1327='112'!$I$6,$M1327='112'!$I$6))),"x",""))</f>
        <v/>
      </c>
      <c r="S1327" s="55" t="str">
        <f>IF(ISERROR(FIND('112'!$M$9,G1327,1)),"",IF((AND(LEFT(G1327,2)=LEFT('112'!$M$9,2),B1327&lt;'112'!$N$8,$L1327='112'!$I$6)),"x",""))</f>
        <v/>
      </c>
      <c r="T1327" s="55" t="str">
        <f>IF(ISERROR(FIND('112'!$M$9,G1327,1)),"",IF((AND(RIGHT(G1327,2)=RIGHT('112'!$M$9,2),B1327&lt;'112'!$N$8,$M1327='112'!$I$6)),"x",""))</f>
        <v/>
      </c>
      <c r="U1327" s="55" t="str">
        <f>IF(AND('3411-CT'!$F$9=H1327,OR(LEFT(L1327,3)=$U$7,LEFT(M1327,3)=$U$7)),"x","")</f>
        <v/>
      </c>
      <c r="V1327" s="55" t="str">
        <f>IF(OR(TH!L1327=TH!$V$7,M1327=TH!$V$7),"x","")</f>
        <v/>
      </c>
      <c r="W1327" s="55" t="str">
        <f>IF(AND(OR(L1327="131",M1327="131"),H1327='131-CT'!$E$7),"x","")</f>
        <v/>
      </c>
      <c r="X1327" s="55" t="str">
        <f>IF(AND(B1327&gt;='IN-NX'!$P$3,B1327&lt;='IN-NX'!$Q$3,'IN-NX'!$D$7=D1327,OR(LEFT(TH!L1327,2)="15",LEFT(TH!M1327,2)="15")),"x","")</f>
        <v/>
      </c>
      <c r="Y1327" s="55" t="str">
        <f>IF(AND(OR(LEFT(TH!L1327,2)="15",LEFT(TH!M1327,2)="15"),'152-CT'!$J$8=TH!F1327),"x","")</f>
        <v/>
      </c>
      <c r="Z1327" s="55" t="str">
        <f>IF(AND(OR(LEFT(TH!L1327,2)="15",LEFT(TH!M1327,2)="15"),TK!$E$7=TH!F1327),"x","")</f>
        <v/>
      </c>
      <c r="AA1327" s="55" t="str">
        <f>IF(AND(B1327&lt;=NKC!$N$8,B1327&gt;=NKC!$M$8),"x","")</f>
        <v/>
      </c>
    </row>
    <row r="1328" spans="1:29" ht="15.75" customHeight="1">
      <c r="A1328" s="219" t="str">
        <f>IF(B1328&lt;&gt;"",IF(AND(B1328&gt;=_TM1,B1328&lt;=_TM2,OR(TH!L1328="1111",TH!M1328="1111")),TH!D1328,""),"")</f>
        <v/>
      </c>
      <c r="B1328" s="36">
        <f t="shared" si="57"/>
        <v>10</v>
      </c>
      <c r="C1328" s="205">
        <f t="shared" si="56"/>
        <v>41205</v>
      </c>
      <c r="D1328" s="205"/>
      <c r="E1328" s="205">
        <v>41205</v>
      </c>
      <c r="F1328" s="206" t="s">
        <v>1185</v>
      </c>
      <c r="G1328" s="581" t="s">
        <v>1502</v>
      </c>
      <c r="H1328" s="7" t="s">
        <v>416</v>
      </c>
      <c r="I1328" s="277"/>
      <c r="J1328" s="277"/>
      <c r="K1328" s="38">
        <v>2053780</v>
      </c>
      <c r="L1328" s="208" t="s">
        <v>311</v>
      </c>
      <c r="M1328" s="208" t="s">
        <v>549</v>
      </c>
      <c r="N1328" s="55" t="str">
        <f>IF(AND('331-CT'!$E$7=TH!H1328,OR(L1328="331",M1328="331")),"x","")</f>
        <v/>
      </c>
      <c r="O1328" s="55" t="str">
        <f>IF(AND($B1328&gt;='111'!$N$11,$B1328&lt;='111'!$O$11,OR($L1328=$O$7,$M1328=$O$7)),"x","")</f>
        <v/>
      </c>
      <c r="P1328" s="55" t="str">
        <f>IF(AND($L1328=$O$7,$B1328&lt;'111'!$N$11),"x","")</f>
        <v/>
      </c>
      <c r="Q1328" s="55" t="str">
        <f>IF(AND($M1328=$O$7,$B1328&lt;'111'!$N$11),"x","")</f>
        <v/>
      </c>
      <c r="R1328" s="55" t="str">
        <f>IF(ISERROR(FIND('112'!$M$9,G1328,1)),"",IF((AND(FIND('112'!$M$9,G1328,1)&gt;=1,$B1328&gt;='112'!$N$8,$B1328&lt;='112'!$O$8,OR($L1328='112'!$I$6,$M1328='112'!$I$6))),"x",""))</f>
        <v/>
      </c>
      <c r="S1328" s="55" t="str">
        <f>IF(ISERROR(FIND('112'!$M$9,G1328,1)),"",IF((AND(LEFT(G1328,2)=LEFT('112'!$M$9,2),B1328&lt;'112'!$N$8,$L1328='112'!$I$6)),"x",""))</f>
        <v/>
      </c>
      <c r="T1328" s="55" t="str">
        <f>IF(ISERROR(FIND('112'!$M$9,G1328,1)),"",IF((AND(RIGHT(G1328,2)=RIGHT('112'!$M$9,2),B1328&lt;'112'!$N$8,$M1328='112'!$I$6)),"x",""))</f>
        <v/>
      </c>
      <c r="U1328" s="55" t="str">
        <f>IF(AND('3411-CT'!$F$9=H1328,OR(LEFT(L1328,3)=$U$7,LEFT(M1328,3)=$U$7)),"x","")</f>
        <v/>
      </c>
      <c r="V1328" s="55" t="str">
        <f>IF(OR(TH!L1328=TH!$V$7,M1328=TH!$V$7),"x","")</f>
        <v/>
      </c>
      <c r="W1328" s="55" t="str">
        <f>IF(AND(OR(L1328="131",M1328="131"),H1328='131-CT'!$E$7),"x","")</f>
        <v/>
      </c>
      <c r="X1328" s="55" t="str">
        <f>IF(AND(B1328&gt;='IN-NX'!$P$3,B1328&lt;='IN-NX'!$Q$3,'IN-NX'!$D$7=D1328,OR(LEFT(TH!L1328,2)="15",LEFT(TH!M1328,2)="15")),"x","")</f>
        <v/>
      </c>
      <c r="Y1328" s="55" t="str">
        <f>IF(AND(OR(LEFT(TH!L1328,2)="15",LEFT(TH!M1328,2)="15"),'152-CT'!$J$8=TH!F1328),"x","")</f>
        <v/>
      </c>
      <c r="Z1328" s="55" t="str">
        <f>IF(AND(OR(LEFT(TH!L1328,2)="15",LEFT(TH!M1328,2)="15"),TK!$E$7=TH!F1328),"x","")</f>
        <v/>
      </c>
      <c r="AA1328" s="55" t="str">
        <f>IF(AND(B1328&lt;=NKC!$N$8,B1328&gt;=NKC!$M$8),"x","")</f>
        <v/>
      </c>
      <c r="AC1328" s="226"/>
    </row>
    <row r="1329" spans="1:29" ht="15.75" customHeight="1">
      <c r="A1329" s="219" t="str">
        <f>IF(B1329&lt;&gt;"",IF(AND(B1329&gt;=_TM1,B1329&lt;=_TM2,OR(TH!L1329="1111",TH!M1329="1111")),TH!D1329,""),"")</f>
        <v/>
      </c>
      <c r="B1329" s="36">
        <f t="shared" si="57"/>
        <v>10</v>
      </c>
      <c r="C1329" s="205">
        <f t="shared" si="56"/>
        <v>41208</v>
      </c>
      <c r="D1329" s="205"/>
      <c r="E1329" s="205">
        <v>41208</v>
      </c>
      <c r="F1329" s="206" t="s">
        <v>1504</v>
      </c>
      <c r="G1329" s="581" t="s">
        <v>1505</v>
      </c>
      <c r="H1329" s="7" t="s">
        <v>416</v>
      </c>
      <c r="I1329" s="277">
        <v>98</v>
      </c>
      <c r="J1329" s="277">
        <v>10300</v>
      </c>
      <c r="K1329" s="38">
        <f t="shared" si="55"/>
        <v>1009400</v>
      </c>
      <c r="L1329" s="208" t="s">
        <v>311</v>
      </c>
      <c r="M1329" s="208" t="s">
        <v>208</v>
      </c>
      <c r="N1329" s="55" t="str">
        <f>IF(AND('331-CT'!$E$7=TH!H1329,OR(L1329="331",M1329="331")),"x","")</f>
        <v/>
      </c>
      <c r="O1329" s="55" t="str">
        <f>IF(AND($B1329&gt;='111'!$N$11,$B1329&lt;='111'!$O$11,OR($L1329=$O$7,$M1329=$O$7)),"x","")</f>
        <v/>
      </c>
      <c r="P1329" s="55" t="str">
        <f>IF(AND($L1329=$O$7,$B1329&lt;'111'!$N$11),"x","")</f>
        <v/>
      </c>
      <c r="Q1329" s="55" t="str">
        <f>IF(AND($M1329=$O$7,$B1329&lt;'111'!$N$11),"x","")</f>
        <v/>
      </c>
      <c r="R1329" s="55" t="str">
        <f>IF(ISERROR(FIND('112'!$M$9,G1329,1)),"",IF((AND(FIND('112'!$M$9,G1329,1)&gt;=1,$B1329&gt;='112'!$N$8,$B1329&lt;='112'!$O$8,OR($L1329='112'!$I$6,$M1329='112'!$I$6))),"x",""))</f>
        <v/>
      </c>
      <c r="S1329" s="55" t="str">
        <f>IF(ISERROR(FIND('112'!$M$9,G1329,1)),"",IF((AND(LEFT(G1329,2)=LEFT('112'!$M$9,2),B1329&lt;'112'!$N$8,$L1329='112'!$I$6)),"x",""))</f>
        <v/>
      </c>
      <c r="T1329" s="55" t="str">
        <f>IF(ISERROR(FIND('112'!$M$9,G1329,1)),"",IF((AND(RIGHT(G1329,2)=RIGHT('112'!$M$9,2),B1329&lt;'112'!$N$8,$M1329='112'!$I$6)),"x",""))</f>
        <v/>
      </c>
      <c r="U1329" s="55" t="str">
        <f>IF(AND('3411-CT'!$F$9=H1329,OR(LEFT(L1329,3)=$U$7,LEFT(M1329,3)=$U$7)),"x","")</f>
        <v/>
      </c>
      <c r="V1329" s="55" t="str">
        <f>IF(OR(TH!L1329=TH!$V$7,M1329=TH!$V$7),"x","")</f>
        <v/>
      </c>
      <c r="W1329" s="55" t="str">
        <f>IF(AND(OR(L1329="131",M1329="131"),H1329='131-CT'!$E$7),"x","")</f>
        <v/>
      </c>
      <c r="X1329" s="55" t="str">
        <f>IF(AND(B1329&gt;='IN-NX'!$P$3,B1329&lt;='IN-NX'!$Q$3,'IN-NX'!$D$7=D1329,OR(LEFT(TH!L1329,2)="15",LEFT(TH!M1329,2)="15")),"x","")</f>
        <v/>
      </c>
      <c r="Y1329" s="55" t="str">
        <f>IF(AND(OR(LEFT(TH!L1329,2)="15",LEFT(TH!M1329,2)="15"),'152-CT'!$J$8=TH!F1329),"x","")</f>
        <v/>
      </c>
      <c r="Z1329" s="55" t="str">
        <f>IF(AND(OR(LEFT(TH!L1329,2)="15",LEFT(TH!M1329,2)="15"),TK!$E$7=TH!F1329),"x","")</f>
        <v/>
      </c>
      <c r="AA1329" s="55" t="str">
        <f>IF(AND(B1329&lt;=NKC!$N$8,B1329&gt;=NKC!$M$8),"x","")</f>
        <v/>
      </c>
    </row>
    <row r="1330" spans="1:29" ht="15.75" customHeight="1">
      <c r="A1330" s="219" t="str">
        <f>IF(B1330&lt;&gt;"",IF(AND(B1330&gt;=_TM1,B1330&lt;=_TM2,OR(TH!L1330="1111",TH!M1330="1111")),TH!D1330,""),"")</f>
        <v/>
      </c>
      <c r="B1330" s="36">
        <f t="shared" si="57"/>
        <v>10</v>
      </c>
      <c r="C1330" s="205">
        <f t="shared" si="56"/>
        <v>41208</v>
      </c>
      <c r="D1330" s="205"/>
      <c r="E1330" s="205">
        <v>41208</v>
      </c>
      <c r="F1330" s="206" t="s">
        <v>1506</v>
      </c>
      <c r="G1330" s="581" t="s">
        <v>1505</v>
      </c>
      <c r="H1330" s="7" t="s">
        <v>416</v>
      </c>
      <c r="I1330" s="277">
        <v>1272</v>
      </c>
      <c r="J1330" s="277">
        <v>5400</v>
      </c>
      <c r="K1330" s="38">
        <f t="shared" si="55"/>
        <v>6868800</v>
      </c>
      <c r="L1330" s="208" t="s">
        <v>311</v>
      </c>
      <c r="M1330" s="208" t="s">
        <v>208</v>
      </c>
      <c r="N1330" s="55" t="str">
        <f>IF(AND('331-CT'!$E$7=TH!H1330,OR(L1330="331",M1330="331")),"x","")</f>
        <v/>
      </c>
      <c r="O1330" s="55" t="str">
        <f>IF(AND($B1330&gt;='111'!$N$11,$B1330&lt;='111'!$O$11,OR($L1330=$O$7,$M1330=$O$7)),"x","")</f>
        <v/>
      </c>
      <c r="P1330" s="55" t="str">
        <f>IF(AND($L1330=$O$7,$B1330&lt;'111'!$N$11),"x","")</f>
        <v/>
      </c>
      <c r="Q1330" s="55" t="str">
        <f>IF(AND($M1330=$O$7,$B1330&lt;'111'!$N$11),"x","")</f>
        <v/>
      </c>
      <c r="R1330" s="55" t="str">
        <f>IF(ISERROR(FIND('112'!$M$9,G1330,1)),"",IF((AND(FIND('112'!$M$9,G1330,1)&gt;=1,$B1330&gt;='112'!$N$8,$B1330&lt;='112'!$O$8,OR($L1330='112'!$I$6,$M1330='112'!$I$6))),"x",""))</f>
        <v/>
      </c>
      <c r="S1330" s="55" t="str">
        <f>IF(ISERROR(FIND('112'!$M$9,G1330,1)),"",IF((AND(LEFT(G1330,2)=LEFT('112'!$M$9,2),B1330&lt;'112'!$N$8,$L1330='112'!$I$6)),"x",""))</f>
        <v/>
      </c>
      <c r="T1330" s="55" t="str">
        <f>IF(ISERROR(FIND('112'!$M$9,G1330,1)),"",IF((AND(RIGHT(G1330,2)=RIGHT('112'!$M$9,2),B1330&lt;'112'!$N$8,$M1330='112'!$I$6)),"x",""))</f>
        <v/>
      </c>
      <c r="U1330" s="55" t="str">
        <f>IF(AND('3411-CT'!$F$9=H1330,OR(LEFT(L1330,3)=$U$7,LEFT(M1330,3)=$U$7)),"x","")</f>
        <v/>
      </c>
      <c r="V1330" s="55" t="str">
        <f>IF(OR(TH!L1330=TH!$V$7,M1330=TH!$V$7),"x","")</f>
        <v/>
      </c>
      <c r="W1330" s="55" t="str">
        <f>IF(AND(OR(L1330="131",M1330="131"),H1330='131-CT'!$E$7),"x","")</f>
        <v/>
      </c>
      <c r="X1330" s="55" t="str">
        <f>IF(AND(B1330&gt;='IN-NX'!$P$3,B1330&lt;='IN-NX'!$Q$3,'IN-NX'!$D$7=D1330,OR(LEFT(TH!L1330,2)="15",LEFT(TH!M1330,2)="15")),"x","")</f>
        <v/>
      </c>
      <c r="Y1330" s="55" t="str">
        <f>IF(AND(OR(LEFT(TH!L1330,2)="15",LEFT(TH!M1330,2)="15"),'152-CT'!$J$8=TH!F1330),"x","")</f>
        <v/>
      </c>
      <c r="Z1330" s="55" t="str">
        <f>IF(AND(OR(LEFT(TH!L1330,2)="15",LEFT(TH!M1330,2)="15"),TK!$E$7=TH!F1330),"x","")</f>
        <v/>
      </c>
      <c r="AA1330" s="55" t="str">
        <f>IF(AND(B1330&lt;=NKC!$N$8,B1330&gt;=NKC!$M$8),"x","")</f>
        <v/>
      </c>
    </row>
    <row r="1331" spans="1:29" ht="15.75" customHeight="1">
      <c r="A1331" s="219" t="str">
        <f>IF(B1331&lt;&gt;"",IF(AND(B1331&gt;=_TM1,B1331&lt;=_TM2,OR(TH!L1331="1111",TH!M1331="1111")),TH!D1331,""),"")</f>
        <v/>
      </c>
      <c r="B1331" s="36">
        <f t="shared" si="57"/>
        <v>10</v>
      </c>
      <c r="C1331" s="205">
        <f t="shared" si="56"/>
        <v>41208</v>
      </c>
      <c r="D1331" s="205"/>
      <c r="E1331" s="205">
        <v>41208</v>
      </c>
      <c r="F1331" s="206" t="s">
        <v>1507</v>
      </c>
      <c r="G1331" s="581" t="s">
        <v>1505</v>
      </c>
      <c r="H1331" s="7" t="s">
        <v>416</v>
      </c>
      <c r="I1331" s="277">
        <v>640</v>
      </c>
      <c r="J1331" s="277">
        <v>6500</v>
      </c>
      <c r="K1331" s="38">
        <f t="shared" si="55"/>
        <v>4160000</v>
      </c>
      <c r="L1331" s="208" t="s">
        <v>311</v>
      </c>
      <c r="M1331" s="208" t="s">
        <v>208</v>
      </c>
      <c r="N1331" s="55" t="str">
        <f>IF(AND('331-CT'!$E$7=TH!H1331,OR(L1331="331",M1331="331")),"x","")</f>
        <v/>
      </c>
      <c r="O1331" s="55" t="str">
        <f>IF(AND($B1331&gt;='111'!$N$11,$B1331&lt;='111'!$O$11,OR($L1331=$O$7,$M1331=$O$7)),"x","")</f>
        <v/>
      </c>
      <c r="P1331" s="55" t="str">
        <f>IF(AND($L1331=$O$7,$B1331&lt;'111'!$N$11),"x","")</f>
        <v/>
      </c>
      <c r="Q1331" s="55" t="str">
        <f>IF(AND($M1331=$O$7,$B1331&lt;'111'!$N$11),"x","")</f>
        <v/>
      </c>
      <c r="R1331" s="55" t="str">
        <f>IF(ISERROR(FIND('112'!$M$9,G1331,1)),"",IF((AND(FIND('112'!$M$9,G1331,1)&gt;=1,$B1331&gt;='112'!$N$8,$B1331&lt;='112'!$O$8,OR($L1331='112'!$I$6,$M1331='112'!$I$6))),"x",""))</f>
        <v/>
      </c>
      <c r="S1331" s="55" t="str">
        <f>IF(ISERROR(FIND('112'!$M$9,G1331,1)),"",IF((AND(LEFT(G1331,2)=LEFT('112'!$M$9,2),B1331&lt;'112'!$N$8,$L1331='112'!$I$6)),"x",""))</f>
        <v/>
      </c>
      <c r="T1331" s="55" t="str">
        <f>IF(ISERROR(FIND('112'!$M$9,G1331,1)),"",IF((AND(RIGHT(G1331,2)=RIGHT('112'!$M$9,2),B1331&lt;'112'!$N$8,$M1331='112'!$I$6)),"x",""))</f>
        <v/>
      </c>
      <c r="U1331" s="55" t="str">
        <f>IF(AND('3411-CT'!$F$9=H1331,OR(LEFT(L1331,3)=$U$7,LEFT(M1331,3)=$U$7)),"x","")</f>
        <v/>
      </c>
      <c r="V1331" s="55" t="str">
        <f>IF(OR(TH!L1331=TH!$V$7,M1331=TH!$V$7),"x","")</f>
        <v/>
      </c>
      <c r="W1331" s="55" t="str">
        <f>IF(AND(OR(L1331="131",M1331="131"),H1331='131-CT'!$E$7),"x","")</f>
        <v/>
      </c>
      <c r="X1331" s="55" t="str">
        <f>IF(AND(B1331&gt;='IN-NX'!$P$3,B1331&lt;='IN-NX'!$Q$3,'IN-NX'!$D$7=D1331,OR(LEFT(TH!L1331,2)="15",LEFT(TH!M1331,2)="15")),"x","")</f>
        <v/>
      </c>
      <c r="Y1331" s="55" t="str">
        <f>IF(AND(OR(LEFT(TH!L1331,2)="15",LEFT(TH!M1331,2)="15"),'152-CT'!$J$8=TH!F1331),"x","")</f>
        <v/>
      </c>
      <c r="Z1331" s="55" t="str">
        <f>IF(AND(OR(LEFT(TH!L1331,2)="15",LEFT(TH!M1331,2)="15"),TK!$E$7=TH!F1331),"x","")</f>
        <v/>
      </c>
      <c r="AA1331" s="55" t="str">
        <f>IF(AND(B1331&lt;=NKC!$N$8,B1331&gt;=NKC!$M$8),"x","")</f>
        <v/>
      </c>
    </row>
    <row r="1332" spans="1:29" ht="15.75" customHeight="1">
      <c r="A1332" s="219" t="str">
        <f>IF(B1332&lt;&gt;"",IF(AND(B1332&gt;=_TM1,B1332&lt;=_TM2,OR(TH!L1332="1111",TH!M1332="1111")),TH!D1332,""),"")</f>
        <v/>
      </c>
      <c r="B1332" s="36">
        <f t="shared" si="57"/>
        <v>10</v>
      </c>
      <c r="C1332" s="205">
        <f t="shared" ref="C1332:C1387" si="58">E1332</f>
        <v>41208</v>
      </c>
      <c r="D1332" s="205"/>
      <c r="E1332" s="205">
        <v>41208</v>
      </c>
      <c r="F1332" s="206" t="s">
        <v>1508</v>
      </c>
      <c r="G1332" s="581" t="s">
        <v>1505</v>
      </c>
      <c r="H1332" s="7" t="s">
        <v>416</v>
      </c>
      <c r="I1332" s="277">
        <v>606</v>
      </c>
      <c r="J1332" s="277">
        <v>8660</v>
      </c>
      <c r="K1332" s="38">
        <f t="shared" si="55"/>
        <v>5247960</v>
      </c>
      <c r="L1332" s="208" t="s">
        <v>311</v>
      </c>
      <c r="M1332" s="208" t="s">
        <v>208</v>
      </c>
      <c r="N1332" s="55" t="str">
        <f>IF(AND('331-CT'!$E$7=TH!H1332,OR(L1332="331",M1332="331")),"x","")</f>
        <v/>
      </c>
      <c r="O1332" s="55" t="str">
        <f>IF(AND($B1332&gt;='111'!$N$11,$B1332&lt;='111'!$O$11,OR($L1332=$O$7,$M1332=$O$7)),"x","")</f>
        <v/>
      </c>
      <c r="P1332" s="55" t="str">
        <f>IF(AND($L1332=$O$7,$B1332&lt;'111'!$N$11),"x","")</f>
        <v/>
      </c>
      <c r="Q1332" s="55" t="str">
        <f>IF(AND($M1332=$O$7,$B1332&lt;'111'!$N$11),"x","")</f>
        <v/>
      </c>
      <c r="R1332" s="55" t="str">
        <f>IF(ISERROR(FIND('112'!$M$9,G1332,1)),"",IF((AND(FIND('112'!$M$9,G1332,1)&gt;=1,$B1332&gt;='112'!$N$8,$B1332&lt;='112'!$O$8,OR($L1332='112'!$I$6,$M1332='112'!$I$6))),"x",""))</f>
        <v/>
      </c>
      <c r="S1332" s="55" t="str">
        <f>IF(ISERROR(FIND('112'!$M$9,G1332,1)),"",IF((AND(LEFT(G1332,2)=LEFT('112'!$M$9,2),B1332&lt;'112'!$N$8,$L1332='112'!$I$6)),"x",""))</f>
        <v/>
      </c>
      <c r="T1332" s="55" t="str">
        <f>IF(ISERROR(FIND('112'!$M$9,G1332,1)),"",IF((AND(RIGHT(G1332,2)=RIGHT('112'!$M$9,2),B1332&lt;'112'!$N$8,$M1332='112'!$I$6)),"x",""))</f>
        <v/>
      </c>
      <c r="U1332" s="55" t="str">
        <f>IF(AND('3411-CT'!$F$9=H1332,OR(LEFT(L1332,3)=$U$7,LEFT(M1332,3)=$U$7)),"x","")</f>
        <v/>
      </c>
      <c r="V1332" s="55" t="str">
        <f>IF(OR(TH!L1332=TH!$V$7,M1332=TH!$V$7),"x","")</f>
        <v/>
      </c>
      <c r="W1332" s="55" t="str">
        <f>IF(AND(OR(L1332="131",M1332="131"),H1332='131-CT'!$E$7),"x","")</f>
        <v/>
      </c>
      <c r="X1332" s="55" t="str">
        <f>IF(AND(B1332&gt;='IN-NX'!$P$3,B1332&lt;='IN-NX'!$Q$3,'IN-NX'!$D$7=D1332,OR(LEFT(TH!L1332,2)="15",LEFT(TH!M1332,2)="15")),"x","")</f>
        <v/>
      </c>
      <c r="Y1332" s="55" t="str">
        <f>IF(AND(OR(LEFT(TH!L1332,2)="15",LEFT(TH!M1332,2)="15"),'152-CT'!$J$8=TH!F1332),"x","")</f>
        <v/>
      </c>
      <c r="Z1332" s="55" t="str">
        <f>IF(AND(OR(LEFT(TH!L1332,2)="15",LEFT(TH!M1332,2)="15"),TK!$E$7=TH!F1332),"x","")</f>
        <v/>
      </c>
      <c r="AA1332" s="55" t="str">
        <f>IF(AND(B1332&lt;=NKC!$N$8,B1332&gt;=NKC!$M$8),"x","")</f>
        <v/>
      </c>
    </row>
    <row r="1333" spans="1:29" s="226" customFormat="1" ht="15.75" customHeight="1">
      <c r="A1333" s="219" t="str">
        <f>IF(B1333&lt;&gt;"",IF(AND(B1333&gt;=_TM1,B1333&lt;=_TM2,OR(TH!L1333="1111",TH!M1333="1111")),TH!D1333,""),"")</f>
        <v/>
      </c>
      <c r="B1333" s="36">
        <f t="shared" si="57"/>
        <v>10</v>
      </c>
      <c r="C1333" s="205">
        <f t="shared" si="58"/>
        <v>41208</v>
      </c>
      <c r="D1333" s="205"/>
      <c r="E1333" s="205">
        <v>41208</v>
      </c>
      <c r="F1333" s="206" t="s">
        <v>1185</v>
      </c>
      <c r="G1333" s="581" t="s">
        <v>1505</v>
      </c>
      <c r="H1333" s="7" t="s">
        <v>416</v>
      </c>
      <c r="I1333" s="277"/>
      <c r="J1333" s="277"/>
      <c r="K1333" s="38">
        <v>1728616</v>
      </c>
      <c r="L1333" s="208" t="s">
        <v>311</v>
      </c>
      <c r="M1333" s="208" t="s">
        <v>549</v>
      </c>
      <c r="N1333" s="55" t="str">
        <f>IF(AND('331-CT'!$E$7=TH!H1333,OR(L1333="331",M1333="331")),"x","")</f>
        <v/>
      </c>
      <c r="O1333" s="55" t="str">
        <f>IF(AND($B1333&gt;='111'!$N$11,$B1333&lt;='111'!$O$11,OR($L1333=$O$7,$M1333=$O$7)),"x","")</f>
        <v/>
      </c>
      <c r="P1333" s="55" t="str">
        <f>IF(AND($L1333=$O$7,$B1333&lt;'111'!$N$11),"x","")</f>
        <v/>
      </c>
      <c r="Q1333" s="55" t="str">
        <f>IF(AND($M1333=$O$7,$B1333&lt;'111'!$N$11),"x","")</f>
        <v/>
      </c>
      <c r="R1333" s="55" t="str">
        <f>IF(ISERROR(FIND('112'!$M$9,G1333,1)),"",IF((AND(FIND('112'!$M$9,G1333,1)&gt;=1,$B1333&gt;='112'!$N$8,$B1333&lt;='112'!$O$8,OR($L1333='112'!$I$6,$M1333='112'!$I$6))),"x",""))</f>
        <v/>
      </c>
      <c r="S1333" s="55" t="str">
        <f>IF(ISERROR(FIND('112'!$M$9,G1333,1)),"",IF((AND(LEFT(G1333,2)=LEFT('112'!$M$9,2),B1333&lt;'112'!$N$8,$L1333='112'!$I$6)),"x",""))</f>
        <v/>
      </c>
      <c r="T1333" s="55" t="str">
        <f>IF(ISERROR(FIND('112'!$M$9,G1333,1)),"",IF((AND(RIGHT(G1333,2)=RIGHT('112'!$M$9,2),B1333&lt;'112'!$N$8,$M1333='112'!$I$6)),"x",""))</f>
        <v/>
      </c>
      <c r="U1333" s="55" t="str">
        <f>IF(AND('3411-CT'!$F$9=H1333,OR(LEFT(L1333,3)=$U$7,LEFT(M1333,3)=$U$7)),"x","")</f>
        <v/>
      </c>
      <c r="V1333" s="55" t="str">
        <f>IF(OR(TH!L1333=TH!$V$7,M1333=TH!$V$7),"x","")</f>
        <v/>
      </c>
      <c r="W1333" s="55" t="str">
        <f>IF(AND(OR(L1333="131",M1333="131"),H1333='131-CT'!$E$7),"x","")</f>
        <v/>
      </c>
      <c r="X1333" s="55" t="str">
        <f>IF(AND(B1333&gt;='IN-NX'!$P$3,B1333&lt;='IN-NX'!$Q$3,'IN-NX'!$D$7=D1333,OR(LEFT(TH!L1333,2)="15",LEFT(TH!M1333,2)="15")),"x","")</f>
        <v/>
      </c>
      <c r="Y1333" s="55" t="str">
        <f>IF(AND(OR(LEFT(TH!L1333,2)="15",LEFT(TH!M1333,2)="15"),'152-CT'!$J$8=TH!F1333),"x","")</f>
        <v/>
      </c>
      <c r="Z1333" s="55" t="str">
        <f>IF(AND(OR(LEFT(TH!L1333,2)="15",LEFT(TH!M1333,2)="15"),TK!$E$7=TH!F1333),"x","")</f>
        <v/>
      </c>
      <c r="AA1333" s="55" t="str">
        <f>IF(AND(B1333&lt;=NKC!$N$8,B1333&gt;=NKC!$M$8),"x","")</f>
        <v/>
      </c>
    </row>
    <row r="1334" spans="1:29" s="226" customFormat="1" ht="15.75" customHeight="1">
      <c r="A1334" s="219">
        <f>IF(B1334&lt;&gt;"",IF(AND(B1334&gt;=_TM1,B1334&lt;=_TM2,OR(TH!L1334="1111",TH!M1334="1111")),TH!D1334,""),"")</f>
        <v>0</v>
      </c>
      <c r="B1334" s="36">
        <f t="shared" si="57"/>
        <v>10</v>
      </c>
      <c r="C1334" s="205">
        <f t="shared" si="58"/>
        <v>41213</v>
      </c>
      <c r="D1334" s="205"/>
      <c r="E1334" s="205">
        <v>41213</v>
      </c>
      <c r="F1334" s="206" t="s">
        <v>1509</v>
      </c>
      <c r="G1334" s="581" t="s">
        <v>1510</v>
      </c>
      <c r="H1334" s="207" t="s">
        <v>1256</v>
      </c>
      <c r="I1334" s="277">
        <v>499</v>
      </c>
      <c r="J1334" s="277">
        <v>8000</v>
      </c>
      <c r="K1334" s="38">
        <f t="shared" si="55"/>
        <v>3992000</v>
      </c>
      <c r="L1334" s="208" t="s">
        <v>49</v>
      </c>
      <c r="M1334" s="208" t="s">
        <v>208</v>
      </c>
      <c r="N1334" s="55" t="str">
        <f>IF(AND('331-CT'!$E$7=TH!H1334,OR(L1334="331",M1334="331")),"x","")</f>
        <v/>
      </c>
      <c r="O1334" s="55" t="str">
        <f>IF(AND($B1334&gt;='111'!$N$11,$B1334&lt;='111'!$O$11,OR($L1334=$O$7,$M1334=$O$7)),"x","")</f>
        <v>x</v>
      </c>
      <c r="P1334" s="55" t="str">
        <f>IF(AND($L1334=$O$7,$B1334&lt;'111'!$N$11),"x","")</f>
        <v/>
      </c>
      <c r="Q1334" s="55" t="str">
        <f>IF(AND($M1334=$O$7,$B1334&lt;'111'!$N$11),"x","")</f>
        <v/>
      </c>
      <c r="R1334" s="55" t="str">
        <f>IF(ISERROR(FIND('112'!$M$9,G1334,1)),"",IF((AND(FIND('112'!$M$9,G1334,1)&gt;=1,$B1334&gt;='112'!$N$8,$B1334&lt;='112'!$O$8,OR($L1334='112'!$I$6,$M1334='112'!$I$6))),"x",""))</f>
        <v/>
      </c>
      <c r="S1334" s="55" t="str">
        <f>IF(ISERROR(FIND('112'!$M$9,G1334,1)),"",IF((AND(LEFT(G1334,2)=LEFT('112'!$M$9,2),B1334&lt;'112'!$N$8,$L1334='112'!$I$6)),"x",""))</f>
        <v/>
      </c>
      <c r="T1334" s="55" t="str">
        <f>IF(ISERROR(FIND('112'!$M$9,G1334,1)),"",IF((AND(RIGHT(G1334,2)=RIGHT('112'!$M$9,2),B1334&lt;'112'!$N$8,$M1334='112'!$I$6)),"x",""))</f>
        <v/>
      </c>
      <c r="U1334" s="55" t="str">
        <f>IF(AND('3411-CT'!$F$9=H1334,OR(LEFT(L1334,3)=$U$7,LEFT(M1334,3)=$U$7)),"x","")</f>
        <v/>
      </c>
      <c r="V1334" s="55" t="str">
        <f>IF(OR(TH!L1334=TH!$V$7,M1334=TH!$V$7),"x","")</f>
        <v/>
      </c>
      <c r="W1334" s="55" t="str">
        <f>IF(AND(OR(L1334="131",M1334="131"),H1334='131-CT'!$E$7),"x","")</f>
        <v/>
      </c>
      <c r="X1334" s="55" t="str">
        <f>IF(AND(B1334&gt;='IN-NX'!$P$3,B1334&lt;='IN-NX'!$Q$3,'IN-NX'!$D$7=D1334,OR(LEFT(TH!L1334,2)="15",LEFT(TH!M1334,2)="15")),"x","")</f>
        <v/>
      </c>
      <c r="Y1334" s="55" t="str">
        <f>IF(AND(OR(LEFT(TH!L1334,2)="15",LEFT(TH!M1334,2)="15"),'152-CT'!$J$8=TH!F1334),"x","")</f>
        <v/>
      </c>
      <c r="Z1334" s="55" t="str">
        <f>IF(AND(OR(LEFT(TH!L1334,2)="15",LEFT(TH!M1334,2)="15"),TK!$E$7=TH!F1334),"x","")</f>
        <v/>
      </c>
      <c r="AA1334" s="55" t="str">
        <f>IF(AND(B1334&lt;=NKC!$N$8,B1334&gt;=NKC!$M$8),"x","")</f>
        <v/>
      </c>
    </row>
    <row r="1335" spans="1:29" s="226" customFormat="1" ht="15.75" customHeight="1">
      <c r="A1335" s="219">
        <f>IF(B1335&lt;&gt;"",IF(AND(B1335&gt;=_TM1,B1335&lt;=_TM2,OR(TH!L1335="1111",TH!M1335="1111")),TH!D1335,""),"")</f>
        <v>0</v>
      </c>
      <c r="B1335" s="36">
        <f t="shared" si="57"/>
        <v>10</v>
      </c>
      <c r="C1335" s="205">
        <f t="shared" si="58"/>
        <v>41213</v>
      </c>
      <c r="D1335" s="205"/>
      <c r="E1335" s="205">
        <v>41213</v>
      </c>
      <c r="F1335" s="206" t="s">
        <v>1254</v>
      </c>
      <c r="G1335" s="581" t="s">
        <v>1510</v>
      </c>
      <c r="H1335" s="207" t="s">
        <v>1256</v>
      </c>
      <c r="I1335" s="277">
        <v>499</v>
      </c>
      <c r="J1335" s="277">
        <v>8000</v>
      </c>
      <c r="K1335" s="38">
        <f t="shared" si="55"/>
        <v>3992000</v>
      </c>
      <c r="L1335" s="208" t="s">
        <v>49</v>
      </c>
      <c r="M1335" s="208" t="s">
        <v>208</v>
      </c>
      <c r="N1335" s="55" t="str">
        <f>IF(AND('331-CT'!$E$7=TH!H1335,OR(L1335="331",M1335="331")),"x","")</f>
        <v/>
      </c>
      <c r="O1335" s="55" t="str">
        <f>IF(AND($B1335&gt;='111'!$N$11,$B1335&lt;='111'!$O$11,OR($L1335=$O$7,$M1335=$O$7)),"x","")</f>
        <v>x</v>
      </c>
      <c r="P1335" s="55" t="str">
        <f>IF(AND($L1335=$O$7,$B1335&lt;'111'!$N$11),"x","")</f>
        <v/>
      </c>
      <c r="Q1335" s="55" t="str">
        <f>IF(AND($M1335=$O$7,$B1335&lt;'111'!$N$11),"x","")</f>
        <v/>
      </c>
      <c r="R1335" s="55" t="str">
        <f>IF(ISERROR(FIND('112'!$M$9,G1335,1)),"",IF((AND(FIND('112'!$M$9,G1335,1)&gt;=1,$B1335&gt;='112'!$N$8,$B1335&lt;='112'!$O$8,OR($L1335='112'!$I$6,$M1335='112'!$I$6))),"x",""))</f>
        <v/>
      </c>
      <c r="S1335" s="55" t="str">
        <f>IF(ISERROR(FIND('112'!$M$9,G1335,1)),"",IF((AND(LEFT(G1335,2)=LEFT('112'!$M$9,2),B1335&lt;'112'!$N$8,$L1335='112'!$I$6)),"x",""))</f>
        <v/>
      </c>
      <c r="T1335" s="55" t="str">
        <f>IF(ISERROR(FIND('112'!$M$9,G1335,1)),"",IF((AND(RIGHT(G1335,2)=RIGHT('112'!$M$9,2),B1335&lt;'112'!$N$8,$M1335='112'!$I$6)),"x",""))</f>
        <v/>
      </c>
      <c r="U1335" s="55" t="str">
        <f>IF(AND('3411-CT'!$F$9=H1335,OR(LEFT(L1335,3)=$U$7,LEFT(M1335,3)=$U$7)),"x","")</f>
        <v/>
      </c>
      <c r="V1335" s="55" t="str">
        <f>IF(OR(TH!L1335=TH!$V$7,M1335=TH!$V$7),"x","")</f>
        <v/>
      </c>
      <c r="W1335" s="55" t="str">
        <f>IF(AND(OR(L1335="131",M1335="131"),H1335='131-CT'!$E$7),"x","")</f>
        <v/>
      </c>
      <c r="X1335" s="55" t="str">
        <f>IF(AND(B1335&gt;='IN-NX'!$P$3,B1335&lt;='IN-NX'!$Q$3,'IN-NX'!$D$7=D1335,OR(LEFT(TH!L1335,2)="15",LEFT(TH!M1335,2)="15")),"x","")</f>
        <v/>
      </c>
      <c r="Y1335" s="55" t="str">
        <f>IF(AND(OR(LEFT(TH!L1335,2)="15",LEFT(TH!M1335,2)="15"),'152-CT'!$J$8=TH!F1335),"x","")</f>
        <v/>
      </c>
      <c r="Z1335" s="55" t="str">
        <f>IF(AND(OR(LEFT(TH!L1335,2)="15",LEFT(TH!M1335,2)="15"),TK!$E$7=TH!F1335),"x","")</f>
        <v/>
      </c>
      <c r="AA1335" s="55" t="str">
        <f>IF(AND(B1335&lt;=NKC!$N$8,B1335&gt;=NKC!$M$8),"x","")</f>
        <v/>
      </c>
    </row>
    <row r="1336" spans="1:29" s="226" customFormat="1" ht="15.75" customHeight="1">
      <c r="A1336" s="219">
        <f>IF(B1336&lt;&gt;"",IF(AND(B1336&gt;=_TM1,B1336&lt;=_TM2,OR(TH!L1336="1111",TH!M1336="1111")),TH!D1336,""),"")</f>
        <v>0</v>
      </c>
      <c r="B1336" s="36">
        <f t="shared" si="57"/>
        <v>10</v>
      </c>
      <c r="C1336" s="205">
        <f t="shared" si="58"/>
        <v>41213</v>
      </c>
      <c r="D1336" s="205"/>
      <c r="E1336" s="205">
        <v>41213</v>
      </c>
      <c r="F1336" s="206" t="s">
        <v>1427</v>
      </c>
      <c r="G1336" s="581" t="s">
        <v>1510</v>
      </c>
      <c r="H1336" s="207" t="s">
        <v>1256</v>
      </c>
      <c r="I1336" s="277">
        <v>200</v>
      </c>
      <c r="J1336" s="277">
        <v>11000</v>
      </c>
      <c r="K1336" s="38">
        <f t="shared" si="55"/>
        <v>2200000</v>
      </c>
      <c r="L1336" s="208" t="s">
        <v>49</v>
      </c>
      <c r="M1336" s="208" t="s">
        <v>208</v>
      </c>
      <c r="N1336" s="55" t="str">
        <f>IF(AND('331-CT'!$E$7=TH!H1336,OR(L1336="331",M1336="331")),"x","")</f>
        <v/>
      </c>
      <c r="O1336" s="55" t="str">
        <f>IF(AND($B1336&gt;='111'!$N$11,$B1336&lt;='111'!$O$11,OR($L1336=$O$7,$M1336=$O$7)),"x","")</f>
        <v>x</v>
      </c>
      <c r="P1336" s="55" t="str">
        <f>IF(AND($L1336=$O$7,$B1336&lt;'111'!$N$11),"x","")</f>
        <v/>
      </c>
      <c r="Q1336" s="55" t="str">
        <f>IF(AND($M1336=$O$7,$B1336&lt;'111'!$N$11),"x","")</f>
        <v/>
      </c>
      <c r="R1336" s="55" t="str">
        <f>IF(ISERROR(FIND('112'!$M$9,G1336,1)),"",IF((AND(FIND('112'!$M$9,G1336,1)&gt;=1,$B1336&gt;='112'!$N$8,$B1336&lt;='112'!$O$8,OR($L1336='112'!$I$6,$M1336='112'!$I$6))),"x",""))</f>
        <v/>
      </c>
      <c r="S1336" s="55" t="str">
        <f>IF(ISERROR(FIND('112'!$M$9,G1336,1)),"",IF((AND(LEFT(G1336,2)=LEFT('112'!$M$9,2),B1336&lt;'112'!$N$8,$L1336='112'!$I$6)),"x",""))</f>
        <v/>
      </c>
      <c r="T1336" s="55" t="str">
        <f>IF(ISERROR(FIND('112'!$M$9,G1336,1)),"",IF((AND(RIGHT(G1336,2)=RIGHT('112'!$M$9,2),B1336&lt;'112'!$N$8,$M1336='112'!$I$6)),"x",""))</f>
        <v/>
      </c>
      <c r="U1336" s="55" t="str">
        <f>IF(AND('3411-CT'!$F$9=H1336,OR(LEFT(L1336,3)=$U$7,LEFT(M1336,3)=$U$7)),"x","")</f>
        <v/>
      </c>
      <c r="V1336" s="55" t="str">
        <f>IF(OR(TH!L1336=TH!$V$7,M1336=TH!$V$7),"x","")</f>
        <v/>
      </c>
      <c r="W1336" s="55" t="str">
        <f>IF(AND(OR(L1336="131",M1336="131"),H1336='131-CT'!$E$7),"x","")</f>
        <v/>
      </c>
      <c r="X1336" s="55" t="str">
        <f>IF(AND(B1336&gt;='IN-NX'!$P$3,B1336&lt;='IN-NX'!$Q$3,'IN-NX'!$D$7=D1336,OR(LEFT(TH!L1336,2)="15",LEFT(TH!M1336,2)="15")),"x","")</f>
        <v/>
      </c>
      <c r="Y1336" s="55" t="str">
        <f>IF(AND(OR(LEFT(TH!L1336,2)="15",LEFT(TH!M1336,2)="15"),'152-CT'!$J$8=TH!F1336),"x","")</f>
        <v/>
      </c>
      <c r="Z1336" s="55" t="str">
        <f>IF(AND(OR(LEFT(TH!L1336,2)="15",LEFT(TH!M1336,2)="15"),TK!$E$7=TH!F1336),"x","")</f>
        <v/>
      </c>
      <c r="AA1336" s="55" t="str">
        <f>IF(AND(B1336&lt;=NKC!$N$8,B1336&gt;=NKC!$M$8),"x","")</f>
        <v/>
      </c>
    </row>
    <row r="1337" spans="1:29" s="226" customFormat="1" ht="15.75" customHeight="1">
      <c r="A1337" s="219">
        <f>IF(B1337&lt;&gt;"",IF(AND(B1337&gt;=_TM1,B1337&lt;=_TM2,OR(TH!L1337="1111",TH!M1337="1111")),TH!D1337,""),"")</f>
        <v>0</v>
      </c>
      <c r="B1337" s="36">
        <f t="shared" si="57"/>
        <v>10</v>
      </c>
      <c r="C1337" s="205">
        <f t="shared" si="58"/>
        <v>41213</v>
      </c>
      <c r="D1337" s="205"/>
      <c r="E1337" s="205">
        <v>41213</v>
      </c>
      <c r="F1337" s="206" t="s">
        <v>1185</v>
      </c>
      <c r="G1337" s="581" t="s">
        <v>1510</v>
      </c>
      <c r="H1337" s="207" t="s">
        <v>1256</v>
      </c>
      <c r="I1337" s="277"/>
      <c r="J1337" s="277"/>
      <c r="K1337" s="38">
        <v>1018400</v>
      </c>
      <c r="L1337" s="208" t="s">
        <v>49</v>
      </c>
      <c r="M1337" s="208" t="s">
        <v>549</v>
      </c>
      <c r="N1337" s="55" t="str">
        <f>IF(AND('331-CT'!$E$7=TH!H1337,OR(L1337="331",M1337="331")),"x","")</f>
        <v/>
      </c>
      <c r="O1337" s="55" t="str">
        <f>IF(AND($B1337&gt;='111'!$N$11,$B1337&lt;='111'!$O$11,OR($L1337=$O$7,$M1337=$O$7)),"x","")</f>
        <v>x</v>
      </c>
      <c r="P1337" s="55" t="str">
        <f>IF(AND($L1337=$O$7,$B1337&lt;'111'!$N$11),"x","")</f>
        <v/>
      </c>
      <c r="Q1337" s="55" t="str">
        <f>IF(AND($M1337=$O$7,$B1337&lt;'111'!$N$11),"x","")</f>
        <v/>
      </c>
      <c r="R1337" s="55" t="str">
        <f>IF(ISERROR(FIND('112'!$M$9,G1337,1)),"",IF((AND(FIND('112'!$M$9,G1337,1)&gt;=1,$B1337&gt;='112'!$N$8,$B1337&lt;='112'!$O$8,OR($L1337='112'!$I$6,$M1337='112'!$I$6))),"x",""))</f>
        <v/>
      </c>
      <c r="S1337" s="55" t="str">
        <f>IF(ISERROR(FIND('112'!$M$9,G1337,1)),"",IF((AND(LEFT(G1337,2)=LEFT('112'!$M$9,2),B1337&lt;'112'!$N$8,$L1337='112'!$I$6)),"x",""))</f>
        <v/>
      </c>
      <c r="T1337" s="55" t="str">
        <f>IF(ISERROR(FIND('112'!$M$9,G1337,1)),"",IF((AND(RIGHT(G1337,2)=RIGHT('112'!$M$9,2),B1337&lt;'112'!$N$8,$M1337='112'!$I$6)),"x",""))</f>
        <v/>
      </c>
      <c r="U1337" s="55" t="str">
        <f>IF(AND('3411-CT'!$F$9=H1337,OR(LEFT(L1337,3)=$U$7,LEFT(M1337,3)=$U$7)),"x","")</f>
        <v/>
      </c>
      <c r="V1337" s="55" t="str">
        <f>IF(OR(TH!L1337=TH!$V$7,M1337=TH!$V$7),"x","")</f>
        <v/>
      </c>
      <c r="W1337" s="55" t="str">
        <f>IF(AND(OR(L1337="131",M1337="131"),H1337='131-CT'!$E$7),"x","")</f>
        <v/>
      </c>
      <c r="X1337" s="55" t="str">
        <f>IF(AND(B1337&gt;='IN-NX'!$P$3,B1337&lt;='IN-NX'!$Q$3,'IN-NX'!$D$7=D1337,OR(LEFT(TH!L1337,2)="15",LEFT(TH!M1337,2)="15")),"x","")</f>
        <v/>
      </c>
      <c r="Y1337" s="55" t="str">
        <f>IF(AND(OR(LEFT(TH!L1337,2)="15",LEFT(TH!M1337,2)="15"),'152-CT'!$J$8=TH!F1337),"x","")</f>
        <v/>
      </c>
      <c r="Z1337" s="55" t="str">
        <f>IF(AND(OR(LEFT(TH!L1337,2)="15",LEFT(TH!M1337,2)="15"),TK!$E$7=TH!F1337),"x","")</f>
        <v/>
      </c>
      <c r="AA1337" s="55" t="str">
        <f>IF(AND(B1337&lt;=NKC!$N$8,B1337&gt;=NKC!$M$8),"x","")</f>
        <v/>
      </c>
    </row>
    <row r="1338" spans="1:29" s="226" customFormat="1" ht="15.75" customHeight="1">
      <c r="A1338" s="219">
        <f>IF(B1338&lt;&gt;"",IF(AND(B1338&gt;=_TM1,B1338&lt;=_TM2,OR(TH!L1338="1111",TH!M1338="1111")),TH!D1338,""),"")</f>
        <v>0</v>
      </c>
      <c r="B1338" s="36">
        <f t="shared" si="57"/>
        <v>10</v>
      </c>
      <c r="C1338" s="205">
        <f t="shared" si="58"/>
        <v>41213</v>
      </c>
      <c r="D1338" s="205"/>
      <c r="E1338" s="205">
        <v>41213</v>
      </c>
      <c r="F1338" s="206" t="s">
        <v>1511</v>
      </c>
      <c r="G1338" s="581" t="s">
        <v>1512</v>
      </c>
      <c r="H1338" s="207" t="s">
        <v>1544</v>
      </c>
      <c r="I1338" s="277">
        <v>100</v>
      </c>
      <c r="J1338" s="277">
        <v>12900</v>
      </c>
      <c r="K1338" s="38">
        <f t="shared" si="55"/>
        <v>1290000</v>
      </c>
      <c r="L1338" s="208" t="s">
        <v>49</v>
      </c>
      <c r="M1338" s="208" t="s">
        <v>208</v>
      </c>
      <c r="N1338" s="55" t="str">
        <f>IF(AND('331-CT'!$E$7=TH!H1338,OR(L1338="331",M1338="331")),"x","")</f>
        <v/>
      </c>
      <c r="O1338" s="55" t="str">
        <f>IF(AND($B1338&gt;='111'!$N$11,$B1338&lt;='111'!$O$11,OR($L1338=$O$7,$M1338=$O$7)),"x","")</f>
        <v>x</v>
      </c>
      <c r="P1338" s="55" t="str">
        <f>IF(AND($L1338=$O$7,$B1338&lt;'111'!$N$11),"x","")</f>
        <v/>
      </c>
      <c r="Q1338" s="55" t="str">
        <f>IF(AND($M1338=$O$7,$B1338&lt;'111'!$N$11),"x","")</f>
        <v/>
      </c>
      <c r="R1338" s="55" t="str">
        <f>IF(ISERROR(FIND('112'!$M$9,G1338,1)),"",IF((AND(FIND('112'!$M$9,G1338,1)&gt;=1,$B1338&gt;='112'!$N$8,$B1338&lt;='112'!$O$8,OR($L1338='112'!$I$6,$M1338='112'!$I$6))),"x",""))</f>
        <v/>
      </c>
      <c r="S1338" s="55" t="str">
        <f>IF(ISERROR(FIND('112'!$M$9,G1338,1)),"",IF((AND(LEFT(G1338,2)=LEFT('112'!$M$9,2),B1338&lt;'112'!$N$8,$L1338='112'!$I$6)),"x",""))</f>
        <v/>
      </c>
      <c r="T1338" s="55" t="str">
        <f>IF(ISERROR(FIND('112'!$M$9,G1338,1)),"",IF((AND(RIGHT(G1338,2)=RIGHT('112'!$M$9,2),B1338&lt;'112'!$N$8,$M1338='112'!$I$6)),"x",""))</f>
        <v/>
      </c>
      <c r="U1338" s="55" t="str">
        <f>IF(AND('3411-CT'!$F$9=H1338,OR(LEFT(L1338,3)=$U$7,LEFT(M1338,3)=$U$7)),"x","")</f>
        <v/>
      </c>
      <c r="V1338" s="55" t="str">
        <f>IF(OR(TH!L1338=TH!$V$7,M1338=TH!$V$7),"x","")</f>
        <v/>
      </c>
      <c r="W1338" s="55" t="str">
        <f>IF(AND(OR(L1338="131",M1338="131"),H1338='131-CT'!$E$7),"x","")</f>
        <v/>
      </c>
      <c r="X1338" s="55" t="str">
        <f>IF(AND(B1338&gt;='IN-NX'!$P$3,B1338&lt;='IN-NX'!$Q$3,'IN-NX'!$D$7=D1338,OR(LEFT(TH!L1338,2)="15",LEFT(TH!M1338,2)="15")),"x","")</f>
        <v/>
      </c>
      <c r="Y1338" s="55" t="str">
        <f>IF(AND(OR(LEFT(TH!L1338,2)="15",LEFT(TH!M1338,2)="15"),'152-CT'!$J$8=TH!F1338),"x","")</f>
        <v/>
      </c>
      <c r="Z1338" s="55" t="str">
        <f>IF(AND(OR(LEFT(TH!L1338,2)="15",LEFT(TH!M1338,2)="15"),TK!$E$7=TH!F1338),"x","")</f>
        <v/>
      </c>
      <c r="AA1338" s="55" t="str">
        <f>IF(AND(B1338&lt;=NKC!$N$8,B1338&gt;=NKC!$M$8),"x","")</f>
        <v/>
      </c>
    </row>
    <row r="1339" spans="1:29" s="226" customFormat="1" ht="15.75" customHeight="1">
      <c r="A1339" s="219">
        <f>IF(B1339&lt;&gt;"",IF(AND(B1339&gt;=_TM1,B1339&lt;=_TM2,OR(TH!L1339="1111",TH!M1339="1111")),TH!D1339,""),"")</f>
        <v>0</v>
      </c>
      <c r="B1339" s="36">
        <f t="shared" si="57"/>
        <v>10</v>
      </c>
      <c r="C1339" s="205">
        <f t="shared" si="58"/>
        <v>41213</v>
      </c>
      <c r="D1339" s="205"/>
      <c r="E1339" s="205">
        <v>41213</v>
      </c>
      <c r="F1339" s="206" t="s">
        <v>1513</v>
      </c>
      <c r="G1339" s="581" t="s">
        <v>1512</v>
      </c>
      <c r="H1339" s="207" t="s">
        <v>1544</v>
      </c>
      <c r="I1339" s="277">
        <v>100</v>
      </c>
      <c r="J1339" s="277">
        <v>12900</v>
      </c>
      <c r="K1339" s="38">
        <f t="shared" si="55"/>
        <v>1290000</v>
      </c>
      <c r="L1339" s="208" t="s">
        <v>49</v>
      </c>
      <c r="M1339" s="208" t="s">
        <v>208</v>
      </c>
      <c r="N1339" s="55" t="str">
        <f>IF(AND('331-CT'!$E$7=TH!H1339,OR(L1339="331",M1339="331")),"x","")</f>
        <v/>
      </c>
      <c r="O1339" s="55" t="str">
        <f>IF(AND($B1339&gt;='111'!$N$11,$B1339&lt;='111'!$O$11,OR($L1339=$O$7,$M1339=$O$7)),"x","")</f>
        <v>x</v>
      </c>
      <c r="P1339" s="55" t="str">
        <f>IF(AND($L1339=$O$7,$B1339&lt;'111'!$N$11),"x","")</f>
        <v/>
      </c>
      <c r="Q1339" s="55" t="str">
        <f>IF(AND($M1339=$O$7,$B1339&lt;'111'!$N$11),"x","")</f>
        <v/>
      </c>
      <c r="R1339" s="55" t="str">
        <f>IF(ISERROR(FIND('112'!$M$9,G1339,1)),"",IF((AND(FIND('112'!$M$9,G1339,1)&gt;=1,$B1339&gt;='112'!$N$8,$B1339&lt;='112'!$O$8,OR($L1339='112'!$I$6,$M1339='112'!$I$6))),"x",""))</f>
        <v/>
      </c>
      <c r="S1339" s="55" t="str">
        <f>IF(ISERROR(FIND('112'!$M$9,G1339,1)),"",IF((AND(LEFT(G1339,2)=LEFT('112'!$M$9,2),B1339&lt;'112'!$N$8,$L1339='112'!$I$6)),"x",""))</f>
        <v/>
      </c>
      <c r="T1339" s="55" t="str">
        <f>IF(ISERROR(FIND('112'!$M$9,G1339,1)),"",IF((AND(RIGHT(G1339,2)=RIGHT('112'!$M$9,2),B1339&lt;'112'!$N$8,$M1339='112'!$I$6)),"x",""))</f>
        <v/>
      </c>
      <c r="U1339" s="55" t="str">
        <f>IF(AND('3411-CT'!$F$9=H1339,OR(LEFT(L1339,3)=$U$7,LEFT(M1339,3)=$U$7)),"x","")</f>
        <v/>
      </c>
      <c r="V1339" s="55" t="str">
        <f>IF(OR(TH!L1339=TH!$V$7,M1339=TH!$V$7),"x","")</f>
        <v/>
      </c>
      <c r="W1339" s="55" t="str">
        <f>IF(AND(OR(L1339="131",M1339="131"),H1339='131-CT'!$E$7),"x","")</f>
        <v/>
      </c>
      <c r="X1339" s="55" t="str">
        <f>IF(AND(B1339&gt;='IN-NX'!$P$3,B1339&lt;='IN-NX'!$Q$3,'IN-NX'!$D$7=D1339,OR(LEFT(TH!L1339,2)="15",LEFT(TH!M1339,2)="15")),"x","")</f>
        <v/>
      </c>
      <c r="Y1339" s="55" t="str">
        <f>IF(AND(OR(LEFT(TH!L1339,2)="15",LEFT(TH!M1339,2)="15"),'152-CT'!$J$8=TH!F1339),"x","")</f>
        <v/>
      </c>
      <c r="Z1339" s="55" t="str">
        <f>IF(AND(OR(LEFT(TH!L1339,2)="15",LEFT(TH!M1339,2)="15"),TK!$E$7=TH!F1339),"x","")</f>
        <v/>
      </c>
      <c r="AA1339" s="55" t="str">
        <f>IF(AND(B1339&lt;=NKC!$N$8,B1339&gt;=NKC!$M$8),"x","")</f>
        <v/>
      </c>
    </row>
    <row r="1340" spans="1:29" s="226" customFormat="1" ht="15.75" customHeight="1">
      <c r="A1340" s="219">
        <f>IF(B1340&lt;&gt;"",IF(AND(B1340&gt;=_TM1,B1340&lt;=_TM2,OR(TH!L1340="1111",TH!M1340="1111")),TH!D1340,""),"")</f>
        <v>0</v>
      </c>
      <c r="B1340" s="36">
        <f t="shared" si="57"/>
        <v>10</v>
      </c>
      <c r="C1340" s="205">
        <f t="shared" si="58"/>
        <v>41213</v>
      </c>
      <c r="D1340" s="205"/>
      <c r="E1340" s="205">
        <v>41213</v>
      </c>
      <c r="F1340" s="206" t="s">
        <v>1514</v>
      </c>
      <c r="G1340" s="581" t="s">
        <v>1512</v>
      </c>
      <c r="H1340" s="207" t="s">
        <v>1544</v>
      </c>
      <c r="I1340" s="277">
        <v>100</v>
      </c>
      <c r="J1340" s="277">
        <v>12900</v>
      </c>
      <c r="K1340" s="38">
        <f t="shared" si="55"/>
        <v>1290000</v>
      </c>
      <c r="L1340" s="208" t="s">
        <v>49</v>
      </c>
      <c r="M1340" s="208" t="s">
        <v>208</v>
      </c>
      <c r="N1340" s="55" t="str">
        <f>IF(AND('331-CT'!$E$7=TH!H1340,OR(L1340="331",M1340="331")),"x","")</f>
        <v/>
      </c>
      <c r="O1340" s="55" t="str">
        <f>IF(AND($B1340&gt;='111'!$N$11,$B1340&lt;='111'!$O$11,OR($L1340=$O$7,$M1340=$O$7)),"x","")</f>
        <v>x</v>
      </c>
      <c r="P1340" s="55" t="str">
        <f>IF(AND($L1340=$O$7,$B1340&lt;'111'!$N$11),"x","")</f>
        <v/>
      </c>
      <c r="Q1340" s="55" t="str">
        <f>IF(AND($M1340=$O$7,$B1340&lt;'111'!$N$11),"x","")</f>
        <v/>
      </c>
      <c r="R1340" s="55" t="str">
        <f>IF(ISERROR(FIND('112'!$M$9,G1340,1)),"",IF((AND(FIND('112'!$M$9,G1340,1)&gt;=1,$B1340&gt;='112'!$N$8,$B1340&lt;='112'!$O$8,OR($L1340='112'!$I$6,$M1340='112'!$I$6))),"x",""))</f>
        <v/>
      </c>
      <c r="S1340" s="55" t="str">
        <f>IF(ISERROR(FIND('112'!$M$9,G1340,1)),"",IF((AND(LEFT(G1340,2)=LEFT('112'!$M$9,2),B1340&lt;'112'!$N$8,$L1340='112'!$I$6)),"x",""))</f>
        <v/>
      </c>
      <c r="T1340" s="55" t="str">
        <f>IF(ISERROR(FIND('112'!$M$9,G1340,1)),"",IF((AND(RIGHT(G1340,2)=RIGHT('112'!$M$9,2),B1340&lt;'112'!$N$8,$M1340='112'!$I$6)),"x",""))</f>
        <v/>
      </c>
      <c r="U1340" s="55" t="str">
        <f>IF(AND('3411-CT'!$F$9=H1340,OR(LEFT(L1340,3)=$U$7,LEFT(M1340,3)=$U$7)),"x","")</f>
        <v/>
      </c>
      <c r="V1340" s="55" t="str">
        <f>IF(OR(TH!L1340=TH!$V$7,M1340=TH!$V$7),"x","")</f>
        <v/>
      </c>
      <c r="W1340" s="55" t="str">
        <f>IF(AND(OR(L1340="131",M1340="131"),H1340='131-CT'!$E$7),"x","")</f>
        <v/>
      </c>
      <c r="X1340" s="55" t="str">
        <f>IF(AND(B1340&gt;='IN-NX'!$P$3,B1340&lt;='IN-NX'!$Q$3,'IN-NX'!$D$7=D1340,OR(LEFT(TH!L1340,2)="15",LEFT(TH!M1340,2)="15")),"x","")</f>
        <v/>
      </c>
      <c r="Y1340" s="55" t="str">
        <f>IF(AND(OR(LEFT(TH!L1340,2)="15",LEFT(TH!M1340,2)="15"),'152-CT'!$J$8=TH!F1340),"x","")</f>
        <v/>
      </c>
      <c r="Z1340" s="55" t="str">
        <f>IF(AND(OR(LEFT(TH!L1340,2)="15",LEFT(TH!M1340,2)="15"),TK!$E$7=TH!F1340),"x","")</f>
        <v/>
      </c>
      <c r="AA1340" s="55" t="str">
        <f>IF(AND(B1340&lt;=NKC!$N$8,B1340&gt;=NKC!$M$8),"x","")</f>
        <v/>
      </c>
    </row>
    <row r="1341" spans="1:29" s="226" customFormat="1" ht="15.75" customHeight="1">
      <c r="A1341" s="219">
        <f>IF(B1341&lt;&gt;"",IF(AND(B1341&gt;=_TM1,B1341&lt;=_TM2,OR(TH!L1341="1111",TH!M1341="1111")),TH!D1341,""),"")</f>
        <v>0</v>
      </c>
      <c r="B1341" s="36">
        <f t="shared" si="57"/>
        <v>10</v>
      </c>
      <c r="C1341" s="205">
        <f t="shared" si="58"/>
        <v>41213</v>
      </c>
      <c r="D1341" s="205"/>
      <c r="E1341" s="205">
        <v>41213</v>
      </c>
      <c r="F1341" s="206" t="s">
        <v>1515</v>
      </c>
      <c r="G1341" s="581" t="s">
        <v>1512</v>
      </c>
      <c r="H1341" s="207" t="s">
        <v>1544</v>
      </c>
      <c r="I1341" s="277">
        <v>200</v>
      </c>
      <c r="J1341" s="277">
        <v>13500</v>
      </c>
      <c r="K1341" s="38">
        <f t="shared" si="55"/>
        <v>2700000</v>
      </c>
      <c r="L1341" s="208" t="s">
        <v>49</v>
      </c>
      <c r="M1341" s="208" t="s">
        <v>208</v>
      </c>
      <c r="N1341" s="55" t="str">
        <f>IF(AND('331-CT'!$E$7=TH!H1341,OR(L1341="331",M1341="331")),"x","")</f>
        <v/>
      </c>
      <c r="O1341" s="55" t="str">
        <f>IF(AND($B1341&gt;='111'!$N$11,$B1341&lt;='111'!$O$11,OR($L1341=$O$7,$M1341=$O$7)),"x","")</f>
        <v>x</v>
      </c>
      <c r="P1341" s="55" t="str">
        <f>IF(AND($L1341=$O$7,$B1341&lt;'111'!$N$11),"x","")</f>
        <v/>
      </c>
      <c r="Q1341" s="55" t="str">
        <f>IF(AND($M1341=$O$7,$B1341&lt;'111'!$N$11),"x","")</f>
        <v/>
      </c>
      <c r="R1341" s="55" t="str">
        <f>IF(ISERROR(FIND('112'!$M$9,G1341,1)),"",IF((AND(FIND('112'!$M$9,G1341,1)&gt;=1,$B1341&gt;='112'!$N$8,$B1341&lt;='112'!$O$8,OR($L1341='112'!$I$6,$M1341='112'!$I$6))),"x",""))</f>
        <v/>
      </c>
      <c r="S1341" s="55" t="str">
        <f>IF(ISERROR(FIND('112'!$M$9,G1341,1)),"",IF((AND(LEFT(G1341,2)=LEFT('112'!$M$9,2),B1341&lt;'112'!$N$8,$L1341='112'!$I$6)),"x",""))</f>
        <v/>
      </c>
      <c r="T1341" s="55" t="str">
        <f>IF(ISERROR(FIND('112'!$M$9,G1341,1)),"",IF((AND(RIGHT(G1341,2)=RIGHT('112'!$M$9,2),B1341&lt;'112'!$N$8,$M1341='112'!$I$6)),"x",""))</f>
        <v/>
      </c>
      <c r="U1341" s="55" t="str">
        <f>IF(AND('3411-CT'!$F$9=H1341,OR(LEFT(L1341,3)=$U$7,LEFT(M1341,3)=$U$7)),"x","")</f>
        <v/>
      </c>
      <c r="V1341" s="55" t="str">
        <f>IF(OR(TH!L1341=TH!$V$7,M1341=TH!$V$7),"x","")</f>
        <v/>
      </c>
      <c r="W1341" s="55" t="str">
        <f>IF(AND(OR(L1341="131",M1341="131"),H1341='131-CT'!$E$7),"x","")</f>
        <v/>
      </c>
      <c r="X1341" s="55" t="str">
        <f>IF(AND(B1341&gt;='IN-NX'!$P$3,B1341&lt;='IN-NX'!$Q$3,'IN-NX'!$D$7=D1341,OR(LEFT(TH!L1341,2)="15",LEFT(TH!M1341,2)="15")),"x","")</f>
        <v/>
      </c>
      <c r="Y1341" s="55" t="str">
        <f>IF(AND(OR(LEFT(TH!L1341,2)="15",LEFT(TH!M1341,2)="15"),'152-CT'!$J$8=TH!F1341),"x","")</f>
        <v/>
      </c>
      <c r="Z1341" s="55" t="str">
        <f>IF(AND(OR(LEFT(TH!L1341,2)="15",LEFT(TH!M1341,2)="15"),TK!$E$7=TH!F1341),"x","")</f>
        <v/>
      </c>
      <c r="AA1341" s="55" t="str">
        <f>IF(AND(B1341&lt;=NKC!$N$8,B1341&gt;=NKC!$M$8),"x","")</f>
        <v/>
      </c>
    </row>
    <row r="1342" spans="1:29" ht="15.75" customHeight="1">
      <c r="A1342" s="219">
        <f>IF(B1342&lt;&gt;"",IF(AND(B1342&gt;=_TM1,B1342&lt;=_TM2,OR(TH!L1342="1111",TH!M1342="1111")),TH!D1342,""),"")</f>
        <v>0</v>
      </c>
      <c r="B1342" s="36">
        <f t="shared" si="57"/>
        <v>10</v>
      </c>
      <c r="C1342" s="205">
        <f t="shared" si="58"/>
        <v>41213</v>
      </c>
      <c r="D1342" s="205"/>
      <c r="E1342" s="205">
        <v>41213</v>
      </c>
      <c r="F1342" s="206" t="s">
        <v>1516</v>
      </c>
      <c r="G1342" s="581" t="s">
        <v>1512</v>
      </c>
      <c r="H1342" s="207" t="s">
        <v>1544</v>
      </c>
      <c r="I1342" s="277">
        <v>100</v>
      </c>
      <c r="J1342" s="277">
        <v>13500</v>
      </c>
      <c r="K1342" s="38">
        <f t="shared" si="55"/>
        <v>1350000</v>
      </c>
      <c r="L1342" s="208" t="s">
        <v>49</v>
      </c>
      <c r="M1342" s="208" t="s">
        <v>208</v>
      </c>
      <c r="N1342" s="55" t="str">
        <f>IF(AND('331-CT'!$E$7=TH!H1342,OR(L1342="331",M1342="331")),"x","")</f>
        <v/>
      </c>
      <c r="O1342" s="55" t="str">
        <f>IF(AND($B1342&gt;='111'!$N$11,$B1342&lt;='111'!$O$11,OR($L1342=$O$7,$M1342=$O$7)),"x","")</f>
        <v>x</v>
      </c>
      <c r="P1342" s="55" t="str">
        <f>IF(AND($L1342=$O$7,$B1342&lt;'111'!$N$11),"x","")</f>
        <v/>
      </c>
      <c r="Q1342" s="55" t="str">
        <f>IF(AND($M1342=$O$7,$B1342&lt;'111'!$N$11),"x","")</f>
        <v/>
      </c>
      <c r="R1342" s="55" t="str">
        <f>IF(ISERROR(FIND('112'!$M$9,G1342,1)),"",IF((AND(FIND('112'!$M$9,G1342,1)&gt;=1,$B1342&gt;='112'!$N$8,$B1342&lt;='112'!$O$8,OR($L1342='112'!$I$6,$M1342='112'!$I$6))),"x",""))</f>
        <v/>
      </c>
      <c r="S1342" s="55" t="str">
        <f>IF(ISERROR(FIND('112'!$M$9,G1342,1)),"",IF((AND(LEFT(G1342,2)=LEFT('112'!$M$9,2),B1342&lt;'112'!$N$8,$L1342='112'!$I$6)),"x",""))</f>
        <v/>
      </c>
      <c r="T1342" s="55" t="str">
        <f>IF(ISERROR(FIND('112'!$M$9,G1342,1)),"",IF((AND(RIGHT(G1342,2)=RIGHT('112'!$M$9,2),B1342&lt;'112'!$N$8,$M1342='112'!$I$6)),"x",""))</f>
        <v/>
      </c>
      <c r="U1342" s="55" t="str">
        <f>IF(AND('3411-CT'!$F$9=H1342,OR(LEFT(L1342,3)=$U$7,LEFT(M1342,3)=$U$7)),"x","")</f>
        <v/>
      </c>
      <c r="V1342" s="55" t="str">
        <f>IF(OR(TH!L1342=TH!$V$7,M1342=TH!$V$7),"x","")</f>
        <v/>
      </c>
      <c r="W1342" s="55" t="str">
        <f>IF(AND(OR(L1342="131",M1342="131"),H1342='131-CT'!$E$7),"x","")</f>
        <v/>
      </c>
      <c r="X1342" s="55" t="str">
        <f>IF(AND(B1342&gt;='IN-NX'!$P$3,B1342&lt;='IN-NX'!$Q$3,'IN-NX'!$D$7=D1342,OR(LEFT(TH!L1342,2)="15",LEFT(TH!M1342,2)="15")),"x","")</f>
        <v/>
      </c>
      <c r="Y1342" s="55" t="str">
        <f>IF(AND(OR(LEFT(TH!L1342,2)="15",LEFT(TH!M1342,2)="15"),'152-CT'!$J$8=TH!F1342),"x","")</f>
        <v/>
      </c>
      <c r="Z1342" s="55" t="str">
        <f>IF(AND(OR(LEFT(TH!L1342,2)="15",LEFT(TH!M1342,2)="15"),TK!$E$7=TH!F1342),"x","")</f>
        <v/>
      </c>
      <c r="AA1342" s="55" t="str">
        <f>IF(AND(B1342&lt;=NKC!$N$8,B1342&gt;=NKC!$M$8),"x","")</f>
        <v/>
      </c>
    </row>
    <row r="1343" spans="1:29" ht="15.75" customHeight="1">
      <c r="A1343" s="219">
        <f>IF(B1343&lt;&gt;"",IF(AND(B1343&gt;=_TM1,B1343&lt;=_TM2,OR(TH!L1343="1111",TH!M1343="1111")),TH!D1343,""),"")</f>
        <v>0</v>
      </c>
      <c r="B1343" s="36">
        <f t="shared" si="57"/>
        <v>10</v>
      </c>
      <c r="C1343" s="205">
        <f t="shared" si="58"/>
        <v>41213</v>
      </c>
      <c r="D1343" s="205"/>
      <c r="E1343" s="205">
        <v>41213</v>
      </c>
      <c r="F1343" s="206" t="s">
        <v>1517</v>
      </c>
      <c r="G1343" s="581" t="s">
        <v>1512</v>
      </c>
      <c r="H1343" s="207" t="s">
        <v>1544</v>
      </c>
      <c r="I1343" s="277">
        <v>200</v>
      </c>
      <c r="J1343" s="277">
        <v>13500</v>
      </c>
      <c r="K1343" s="38">
        <f t="shared" si="55"/>
        <v>2700000</v>
      </c>
      <c r="L1343" s="208" t="s">
        <v>49</v>
      </c>
      <c r="M1343" s="208" t="s">
        <v>208</v>
      </c>
      <c r="N1343" s="55" t="str">
        <f>IF(AND('331-CT'!$E$7=TH!H1343,OR(L1343="331",M1343="331")),"x","")</f>
        <v/>
      </c>
      <c r="O1343" s="55" t="str">
        <f>IF(AND($B1343&gt;='111'!$N$11,$B1343&lt;='111'!$O$11,OR($L1343=$O$7,$M1343=$O$7)),"x","")</f>
        <v>x</v>
      </c>
      <c r="P1343" s="55" t="str">
        <f>IF(AND($L1343=$O$7,$B1343&lt;'111'!$N$11),"x","")</f>
        <v/>
      </c>
      <c r="Q1343" s="55" t="str">
        <f>IF(AND($M1343=$O$7,$B1343&lt;'111'!$N$11),"x","")</f>
        <v/>
      </c>
      <c r="R1343" s="55" t="str">
        <f>IF(ISERROR(FIND('112'!$M$9,G1343,1)),"",IF((AND(FIND('112'!$M$9,G1343,1)&gt;=1,$B1343&gt;='112'!$N$8,$B1343&lt;='112'!$O$8,OR($L1343='112'!$I$6,$M1343='112'!$I$6))),"x",""))</f>
        <v/>
      </c>
      <c r="S1343" s="55" t="str">
        <f>IF(ISERROR(FIND('112'!$M$9,G1343,1)),"",IF((AND(LEFT(G1343,2)=LEFT('112'!$M$9,2),B1343&lt;'112'!$N$8,$L1343='112'!$I$6)),"x",""))</f>
        <v/>
      </c>
      <c r="T1343" s="55" t="str">
        <f>IF(ISERROR(FIND('112'!$M$9,G1343,1)),"",IF((AND(RIGHT(G1343,2)=RIGHT('112'!$M$9,2),B1343&lt;'112'!$N$8,$M1343='112'!$I$6)),"x",""))</f>
        <v/>
      </c>
      <c r="U1343" s="55" t="str">
        <f>IF(AND('3411-CT'!$F$9=H1343,OR(LEFT(L1343,3)=$U$7,LEFT(M1343,3)=$U$7)),"x","")</f>
        <v/>
      </c>
      <c r="V1343" s="55" t="str">
        <f>IF(OR(TH!L1343=TH!$V$7,M1343=TH!$V$7),"x","")</f>
        <v/>
      </c>
      <c r="W1343" s="55" t="str">
        <f>IF(AND(OR(L1343="131",M1343="131"),H1343='131-CT'!$E$7),"x","")</f>
        <v/>
      </c>
      <c r="X1343" s="55" t="str">
        <f>IF(AND(B1343&gt;='IN-NX'!$P$3,B1343&lt;='IN-NX'!$Q$3,'IN-NX'!$D$7=D1343,OR(LEFT(TH!L1343,2)="15",LEFT(TH!M1343,2)="15")),"x","")</f>
        <v/>
      </c>
      <c r="Y1343" s="55" t="str">
        <f>IF(AND(OR(LEFT(TH!L1343,2)="15",LEFT(TH!M1343,2)="15"),'152-CT'!$J$8=TH!F1343),"x","")</f>
        <v/>
      </c>
      <c r="Z1343" s="55" t="str">
        <f>IF(AND(OR(LEFT(TH!L1343,2)="15",LEFT(TH!M1343,2)="15"),TK!$E$7=TH!F1343),"x","")</f>
        <v/>
      </c>
      <c r="AA1343" s="55" t="str">
        <f>IF(AND(B1343&lt;=NKC!$N$8,B1343&gt;=NKC!$M$8),"x","")</f>
        <v/>
      </c>
    </row>
    <row r="1344" spans="1:29" ht="15.75" customHeight="1">
      <c r="A1344" s="219">
        <f>IF(B1344&lt;&gt;"",IF(AND(B1344&gt;=_TM1,B1344&lt;=_TM2,OR(TH!L1344="1111",TH!M1344="1111")),TH!D1344,""),"")</f>
        <v>0</v>
      </c>
      <c r="B1344" s="36">
        <f t="shared" si="57"/>
        <v>10</v>
      </c>
      <c r="C1344" s="205">
        <f t="shared" si="58"/>
        <v>41213</v>
      </c>
      <c r="D1344" s="205"/>
      <c r="E1344" s="205">
        <v>41213</v>
      </c>
      <c r="F1344" s="206" t="s">
        <v>1185</v>
      </c>
      <c r="G1344" s="581" t="s">
        <v>1512</v>
      </c>
      <c r="H1344" s="207" t="s">
        <v>1544</v>
      </c>
      <c r="I1344" s="277"/>
      <c r="J1344" s="277"/>
      <c r="K1344" s="38">
        <v>1062000</v>
      </c>
      <c r="L1344" s="208" t="s">
        <v>49</v>
      </c>
      <c r="M1344" s="208" t="s">
        <v>549</v>
      </c>
      <c r="N1344" s="55" t="str">
        <f>IF(AND('331-CT'!$E$7=TH!H1344,OR(L1344="331",M1344="331")),"x","")</f>
        <v/>
      </c>
      <c r="O1344" s="55" t="str">
        <f>IF(AND($B1344&gt;='111'!$N$11,$B1344&lt;='111'!$O$11,OR($L1344=$O$7,$M1344=$O$7)),"x","")</f>
        <v>x</v>
      </c>
      <c r="P1344" s="55" t="str">
        <f>IF(AND($L1344=$O$7,$B1344&lt;'111'!$N$11),"x","")</f>
        <v/>
      </c>
      <c r="Q1344" s="55" t="str">
        <f>IF(AND($M1344=$O$7,$B1344&lt;'111'!$N$11),"x","")</f>
        <v/>
      </c>
      <c r="R1344" s="55" t="str">
        <f>IF(ISERROR(FIND('112'!$M$9,G1344,1)),"",IF((AND(FIND('112'!$M$9,G1344,1)&gt;=1,$B1344&gt;='112'!$N$8,$B1344&lt;='112'!$O$8,OR($L1344='112'!$I$6,$M1344='112'!$I$6))),"x",""))</f>
        <v/>
      </c>
      <c r="S1344" s="55" t="str">
        <f>IF(ISERROR(FIND('112'!$M$9,G1344,1)),"",IF((AND(LEFT(G1344,2)=LEFT('112'!$M$9,2),B1344&lt;'112'!$N$8,$L1344='112'!$I$6)),"x",""))</f>
        <v/>
      </c>
      <c r="T1344" s="55" t="str">
        <f>IF(ISERROR(FIND('112'!$M$9,G1344,1)),"",IF((AND(RIGHT(G1344,2)=RIGHT('112'!$M$9,2),B1344&lt;'112'!$N$8,$M1344='112'!$I$6)),"x",""))</f>
        <v/>
      </c>
      <c r="U1344" s="55" t="str">
        <f>IF(AND('3411-CT'!$F$9=H1344,OR(LEFT(L1344,3)=$U$7,LEFT(M1344,3)=$U$7)),"x","")</f>
        <v/>
      </c>
      <c r="V1344" s="55" t="str">
        <f>IF(OR(TH!L1344=TH!$V$7,M1344=TH!$V$7),"x","")</f>
        <v/>
      </c>
      <c r="W1344" s="55" t="str">
        <f>IF(AND(OR(L1344="131",M1344="131"),H1344='131-CT'!$E$7),"x","")</f>
        <v/>
      </c>
      <c r="X1344" s="55" t="str">
        <f>IF(AND(B1344&gt;='IN-NX'!$P$3,B1344&lt;='IN-NX'!$Q$3,'IN-NX'!$D$7=D1344,OR(LEFT(TH!L1344,2)="15",LEFT(TH!M1344,2)="15")),"x","")</f>
        <v/>
      </c>
      <c r="Y1344" s="55" t="str">
        <f>IF(AND(OR(LEFT(TH!L1344,2)="15",LEFT(TH!M1344,2)="15"),'152-CT'!$J$8=TH!F1344),"x","")</f>
        <v/>
      </c>
      <c r="Z1344" s="55" t="str">
        <f>IF(AND(OR(LEFT(TH!L1344,2)="15",LEFT(TH!M1344,2)="15"),TK!$E$7=TH!F1344),"x","")</f>
        <v/>
      </c>
      <c r="AA1344" s="55" t="str">
        <f>IF(AND(B1344&lt;=NKC!$N$8,B1344&gt;=NKC!$M$8),"x","")</f>
        <v/>
      </c>
      <c r="AC1344" s="226"/>
    </row>
    <row r="1345" spans="1:29" ht="15.75" customHeight="1">
      <c r="A1345" s="219" t="str">
        <f>IF(B1345&lt;&gt;"",IF(AND(B1345&gt;=_TM1,B1345&lt;=_TM2,OR(TH!L1345="1111",TH!M1345="1111")),TH!D1345,""),"")</f>
        <v/>
      </c>
      <c r="B1345" s="36">
        <f t="shared" si="57"/>
        <v>11</v>
      </c>
      <c r="C1345" s="205">
        <f t="shared" si="58"/>
        <v>41226</v>
      </c>
      <c r="D1345" s="205"/>
      <c r="E1345" s="205">
        <v>41226</v>
      </c>
      <c r="F1345" s="206" t="s">
        <v>1315</v>
      </c>
      <c r="G1345" s="581" t="s">
        <v>1518</v>
      </c>
      <c r="H1345" s="7" t="s">
        <v>416</v>
      </c>
      <c r="I1345" s="277">
        <v>1619</v>
      </c>
      <c r="J1345" s="277">
        <v>5400</v>
      </c>
      <c r="K1345" s="38">
        <f t="shared" si="55"/>
        <v>8742600</v>
      </c>
      <c r="L1345" s="208" t="s">
        <v>311</v>
      </c>
      <c r="M1345" s="208" t="s">
        <v>208</v>
      </c>
      <c r="N1345" s="55" t="str">
        <f>IF(AND('331-CT'!$E$7=TH!H1345,OR(L1345="331",M1345="331")),"x","")</f>
        <v/>
      </c>
      <c r="O1345" s="55" t="str">
        <f>IF(AND($B1345&gt;='111'!$N$11,$B1345&lt;='111'!$O$11,OR($L1345=$O$7,$M1345=$O$7)),"x","")</f>
        <v/>
      </c>
      <c r="P1345" s="55" t="str">
        <f>IF(AND($L1345=$O$7,$B1345&lt;'111'!$N$11),"x","")</f>
        <v/>
      </c>
      <c r="Q1345" s="55" t="str">
        <f>IF(AND($M1345=$O$7,$B1345&lt;'111'!$N$11),"x","")</f>
        <v/>
      </c>
      <c r="R1345" s="55" t="str">
        <f>IF(ISERROR(FIND('112'!$M$9,G1345,1)),"",IF((AND(FIND('112'!$M$9,G1345,1)&gt;=1,$B1345&gt;='112'!$N$8,$B1345&lt;='112'!$O$8,OR($L1345='112'!$I$6,$M1345='112'!$I$6))),"x",""))</f>
        <v/>
      </c>
      <c r="S1345" s="55" t="str">
        <f>IF(ISERROR(FIND('112'!$M$9,G1345,1)),"",IF((AND(LEFT(G1345,2)=LEFT('112'!$M$9,2),B1345&lt;'112'!$N$8,$L1345='112'!$I$6)),"x",""))</f>
        <v/>
      </c>
      <c r="T1345" s="55" t="str">
        <f>IF(ISERROR(FIND('112'!$M$9,G1345,1)),"",IF((AND(RIGHT(G1345,2)=RIGHT('112'!$M$9,2),B1345&lt;'112'!$N$8,$M1345='112'!$I$6)),"x",""))</f>
        <v/>
      </c>
      <c r="U1345" s="55" t="str">
        <f>IF(AND('3411-CT'!$F$9=H1345,OR(LEFT(L1345,3)=$U$7,LEFT(M1345,3)=$U$7)),"x","")</f>
        <v/>
      </c>
      <c r="V1345" s="55" t="str">
        <f>IF(OR(TH!L1345=TH!$V$7,M1345=TH!$V$7),"x","")</f>
        <v/>
      </c>
      <c r="W1345" s="55" t="str">
        <f>IF(AND(OR(L1345="131",M1345="131"),H1345='131-CT'!$E$7),"x","")</f>
        <v/>
      </c>
      <c r="X1345" s="55" t="str">
        <f>IF(AND(B1345&gt;='IN-NX'!$P$3,B1345&lt;='IN-NX'!$Q$3,'IN-NX'!$D$7=D1345,OR(LEFT(TH!L1345,2)="15",LEFT(TH!M1345,2)="15")),"x","")</f>
        <v/>
      </c>
      <c r="Y1345" s="55" t="str">
        <f>IF(AND(OR(LEFT(TH!L1345,2)="15",LEFT(TH!M1345,2)="15"),'152-CT'!$J$8=TH!F1345),"x","")</f>
        <v/>
      </c>
      <c r="Z1345" s="55" t="str">
        <f>IF(AND(OR(LEFT(TH!L1345,2)="15",LEFT(TH!M1345,2)="15"),TK!$E$7=TH!F1345),"x","")</f>
        <v/>
      </c>
      <c r="AA1345" s="55" t="str">
        <f>IF(AND(B1345&lt;=NKC!$N$8,B1345&gt;=NKC!$M$8),"x","")</f>
        <v/>
      </c>
    </row>
    <row r="1346" spans="1:29" ht="15.75" customHeight="1">
      <c r="A1346" s="219" t="str">
        <f>IF(B1346&lt;&gt;"",IF(AND(B1346&gt;=_TM1,B1346&lt;=_TM2,OR(TH!L1346="1111",TH!M1346="1111")),TH!D1346,""),"")</f>
        <v/>
      </c>
      <c r="B1346" s="36">
        <f t="shared" si="57"/>
        <v>11</v>
      </c>
      <c r="C1346" s="205">
        <f t="shared" si="58"/>
        <v>41226</v>
      </c>
      <c r="D1346" s="205"/>
      <c r="E1346" s="205">
        <v>41226</v>
      </c>
      <c r="F1346" s="206" t="s">
        <v>1301</v>
      </c>
      <c r="G1346" s="581" t="s">
        <v>1518</v>
      </c>
      <c r="H1346" s="7" t="s">
        <v>416</v>
      </c>
      <c r="I1346" s="277">
        <v>608</v>
      </c>
      <c r="J1346" s="277">
        <v>13200</v>
      </c>
      <c r="K1346" s="38">
        <f t="shared" si="55"/>
        <v>8025600</v>
      </c>
      <c r="L1346" s="208" t="s">
        <v>311</v>
      </c>
      <c r="M1346" s="208" t="s">
        <v>208</v>
      </c>
      <c r="N1346" s="55" t="str">
        <f>IF(AND('331-CT'!$E$7=TH!H1346,OR(L1346="331",M1346="331")),"x","")</f>
        <v/>
      </c>
      <c r="O1346" s="55" t="str">
        <f>IF(AND($B1346&gt;='111'!$N$11,$B1346&lt;='111'!$O$11,OR($L1346=$O$7,$M1346=$O$7)),"x","")</f>
        <v/>
      </c>
      <c r="P1346" s="55" t="str">
        <f>IF(AND($L1346=$O$7,$B1346&lt;'111'!$N$11),"x","")</f>
        <v/>
      </c>
      <c r="Q1346" s="55" t="str">
        <f>IF(AND($M1346=$O$7,$B1346&lt;'111'!$N$11),"x","")</f>
        <v/>
      </c>
      <c r="R1346" s="55" t="str">
        <f>IF(ISERROR(FIND('112'!$M$9,G1346,1)),"",IF((AND(FIND('112'!$M$9,G1346,1)&gt;=1,$B1346&gt;='112'!$N$8,$B1346&lt;='112'!$O$8,OR($L1346='112'!$I$6,$M1346='112'!$I$6))),"x",""))</f>
        <v/>
      </c>
      <c r="S1346" s="55" t="str">
        <f>IF(ISERROR(FIND('112'!$M$9,G1346,1)),"",IF((AND(LEFT(G1346,2)=LEFT('112'!$M$9,2),B1346&lt;'112'!$N$8,$L1346='112'!$I$6)),"x",""))</f>
        <v/>
      </c>
      <c r="T1346" s="55" t="str">
        <f>IF(ISERROR(FIND('112'!$M$9,G1346,1)),"",IF((AND(RIGHT(G1346,2)=RIGHT('112'!$M$9,2),B1346&lt;'112'!$N$8,$M1346='112'!$I$6)),"x",""))</f>
        <v/>
      </c>
      <c r="U1346" s="55" t="str">
        <f>IF(AND('3411-CT'!$F$9=H1346,OR(LEFT(L1346,3)=$U$7,LEFT(M1346,3)=$U$7)),"x","")</f>
        <v/>
      </c>
      <c r="V1346" s="55" t="str">
        <f>IF(OR(TH!L1346=TH!$V$7,M1346=TH!$V$7),"x","")</f>
        <v/>
      </c>
      <c r="W1346" s="55" t="str">
        <f>IF(AND(OR(L1346="131",M1346="131"),H1346='131-CT'!$E$7),"x","")</f>
        <v/>
      </c>
      <c r="X1346" s="55" t="str">
        <f>IF(AND(B1346&gt;='IN-NX'!$P$3,B1346&lt;='IN-NX'!$Q$3,'IN-NX'!$D$7=D1346,OR(LEFT(TH!L1346,2)="15",LEFT(TH!M1346,2)="15")),"x","")</f>
        <v/>
      </c>
      <c r="Y1346" s="55" t="str">
        <f>IF(AND(OR(LEFT(TH!L1346,2)="15",LEFT(TH!M1346,2)="15"),'152-CT'!$J$8=TH!F1346),"x","")</f>
        <v/>
      </c>
      <c r="Z1346" s="55" t="str">
        <f>IF(AND(OR(LEFT(TH!L1346,2)="15",LEFT(TH!M1346,2)="15"),TK!$E$7=TH!F1346),"x","")</f>
        <v/>
      </c>
      <c r="AA1346" s="55" t="str">
        <f>IF(AND(B1346&lt;=NKC!$N$8,B1346&gt;=NKC!$M$8),"x","")</f>
        <v/>
      </c>
    </row>
    <row r="1347" spans="1:29" ht="15.75" customHeight="1">
      <c r="A1347" s="219" t="str">
        <f>IF(B1347&lt;&gt;"",IF(AND(B1347&gt;=_TM1,B1347&lt;=_TM2,OR(TH!L1347="1111",TH!M1347="1111")),TH!D1347,""),"")</f>
        <v/>
      </c>
      <c r="B1347" s="36">
        <f t="shared" si="57"/>
        <v>11</v>
      </c>
      <c r="C1347" s="205">
        <f t="shared" si="58"/>
        <v>41226</v>
      </c>
      <c r="D1347" s="205"/>
      <c r="E1347" s="205">
        <v>41226</v>
      </c>
      <c r="F1347" s="206" t="s">
        <v>1504</v>
      </c>
      <c r="G1347" s="581" t="s">
        <v>1518</v>
      </c>
      <c r="H1347" s="7" t="s">
        <v>416</v>
      </c>
      <c r="I1347" s="277">
        <v>602</v>
      </c>
      <c r="J1347" s="277">
        <v>10300</v>
      </c>
      <c r="K1347" s="38">
        <f t="shared" si="55"/>
        <v>6200600</v>
      </c>
      <c r="L1347" s="208" t="s">
        <v>311</v>
      </c>
      <c r="M1347" s="208" t="s">
        <v>208</v>
      </c>
      <c r="N1347" s="55" t="str">
        <f>IF(AND('331-CT'!$E$7=TH!H1347,OR(L1347="331",M1347="331")),"x","")</f>
        <v/>
      </c>
      <c r="O1347" s="55" t="str">
        <f>IF(AND($B1347&gt;='111'!$N$11,$B1347&lt;='111'!$O$11,OR($L1347=$O$7,$M1347=$O$7)),"x","")</f>
        <v/>
      </c>
      <c r="P1347" s="55" t="str">
        <f>IF(AND($L1347=$O$7,$B1347&lt;'111'!$N$11),"x","")</f>
        <v/>
      </c>
      <c r="Q1347" s="55" t="str">
        <f>IF(AND($M1347=$O$7,$B1347&lt;'111'!$N$11),"x","")</f>
        <v/>
      </c>
      <c r="R1347" s="55" t="str">
        <f>IF(ISERROR(FIND('112'!$M$9,G1347,1)),"",IF((AND(FIND('112'!$M$9,G1347,1)&gt;=1,$B1347&gt;='112'!$N$8,$B1347&lt;='112'!$O$8,OR($L1347='112'!$I$6,$M1347='112'!$I$6))),"x",""))</f>
        <v/>
      </c>
      <c r="S1347" s="55" t="str">
        <f>IF(ISERROR(FIND('112'!$M$9,G1347,1)),"",IF((AND(LEFT(G1347,2)=LEFT('112'!$M$9,2),B1347&lt;'112'!$N$8,$L1347='112'!$I$6)),"x",""))</f>
        <v/>
      </c>
      <c r="T1347" s="55" t="str">
        <f>IF(ISERROR(FIND('112'!$M$9,G1347,1)),"",IF((AND(RIGHT(G1347,2)=RIGHT('112'!$M$9,2),B1347&lt;'112'!$N$8,$M1347='112'!$I$6)),"x",""))</f>
        <v/>
      </c>
      <c r="U1347" s="55" t="str">
        <f>IF(AND('3411-CT'!$F$9=H1347,OR(LEFT(L1347,3)=$U$7,LEFT(M1347,3)=$U$7)),"x","")</f>
        <v/>
      </c>
      <c r="V1347" s="55" t="str">
        <f>IF(OR(TH!L1347=TH!$V$7,M1347=TH!$V$7),"x","")</f>
        <v/>
      </c>
      <c r="W1347" s="55" t="str">
        <f>IF(AND(OR(L1347="131",M1347="131"),H1347='131-CT'!$E$7),"x","")</f>
        <v/>
      </c>
      <c r="X1347" s="55" t="str">
        <f>IF(AND(B1347&gt;='IN-NX'!$P$3,B1347&lt;='IN-NX'!$Q$3,'IN-NX'!$D$7=D1347,OR(LEFT(TH!L1347,2)="15",LEFT(TH!M1347,2)="15")),"x","")</f>
        <v/>
      </c>
      <c r="Y1347" s="55" t="str">
        <f>IF(AND(OR(LEFT(TH!L1347,2)="15",LEFT(TH!M1347,2)="15"),'152-CT'!$J$8=TH!F1347),"x","")</f>
        <v/>
      </c>
      <c r="Z1347" s="55" t="str">
        <f>IF(AND(OR(LEFT(TH!L1347,2)="15",LEFT(TH!M1347,2)="15"),TK!$E$7=TH!F1347),"x","")</f>
        <v/>
      </c>
      <c r="AA1347" s="55" t="str">
        <f>IF(AND(B1347&lt;=NKC!$N$8,B1347&gt;=NKC!$M$8),"x","")</f>
        <v/>
      </c>
    </row>
    <row r="1348" spans="1:29" ht="15.75" customHeight="1">
      <c r="A1348" s="219" t="str">
        <f>IF(B1348&lt;&gt;"",IF(AND(B1348&gt;=_TM1,B1348&lt;=_TM2,OR(TH!L1348="1111",TH!M1348="1111")),TH!D1348,""),"")</f>
        <v/>
      </c>
      <c r="B1348" s="36">
        <f t="shared" si="57"/>
        <v>11</v>
      </c>
      <c r="C1348" s="205">
        <f t="shared" si="58"/>
        <v>41226</v>
      </c>
      <c r="D1348" s="205"/>
      <c r="E1348" s="205">
        <v>41226</v>
      </c>
      <c r="F1348" s="206" t="s">
        <v>1185</v>
      </c>
      <c r="G1348" s="581" t="s">
        <v>1518</v>
      </c>
      <c r="H1348" s="7" t="s">
        <v>416</v>
      </c>
      <c r="I1348" s="277"/>
      <c r="J1348" s="277"/>
      <c r="K1348" s="38">
        <v>2296880</v>
      </c>
      <c r="L1348" s="208" t="s">
        <v>311</v>
      </c>
      <c r="M1348" s="208" t="s">
        <v>549</v>
      </c>
      <c r="N1348" s="55" t="str">
        <f>IF(AND('331-CT'!$E$7=TH!H1348,OR(L1348="331",M1348="331")),"x","")</f>
        <v/>
      </c>
      <c r="O1348" s="55" t="str">
        <f>IF(AND($B1348&gt;='111'!$N$11,$B1348&lt;='111'!$O$11,OR($L1348=$O$7,$M1348=$O$7)),"x","")</f>
        <v/>
      </c>
      <c r="P1348" s="55" t="str">
        <f>IF(AND($L1348=$O$7,$B1348&lt;'111'!$N$11),"x","")</f>
        <v/>
      </c>
      <c r="Q1348" s="55" t="str">
        <f>IF(AND($M1348=$O$7,$B1348&lt;'111'!$N$11),"x","")</f>
        <v/>
      </c>
      <c r="R1348" s="55" t="str">
        <f>IF(ISERROR(FIND('112'!$M$9,G1348,1)),"",IF((AND(FIND('112'!$M$9,G1348,1)&gt;=1,$B1348&gt;='112'!$N$8,$B1348&lt;='112'!$O$8,OR($L1348='112'!$I$6,$M1348='112'!$I$6))),"x",""))</f>
        <v/>
      </c>
      <c r="S1348" s="55" t="str">
        <f>IF(ISERROR(FIND('112'!$M$9,G1348,1)),"",IF((AND(LEFT(G1348,2)=LEFT('112'!$M$9,2),B1348&lt;'112'!$N$8,$L1348='112'!$I$6)),"x",""))</f>
        <v/>
      </c>
      <c r="T1348" s="55" t="str">
        <f>IF(ISERROR(FIND('112'!$M$9,G1348,1)),"",IF((AND(RIGHT(G1348,2)=RIGHT('112'!$M$9,2),B1348&lt;'112'!$N$8,$M1348='112'!$I$6)),"x",""))</f>
        <v/>
      </c>
      <c r="U1348" s="55" t="str">
        <f>IF(AND('3411-CT'!$F$9=H1348,OR(LEFT(L1348,3)=$U$7,LEFT(M1348,3)=$U$7)),"x","")</f>
        <v/>
      </c>
      <c r="V1348" s="55" t="str">
        <f>IF(OR(TH!L1348=TH!$V$7,M1348=TH!$V$7),"x","")</f>
        <v/>
      </c>
      <c r="W1348" s="55" t="str">
        <f>IF(AND(OR(L1348="131",M1348="131"),H1348='131-CT'!$E$7),"x","")</f>
        <v/>
      </c>
      <c r="X1348" s="55" t="str">
        <f>IF(AND(B1348&gt;='IN-NX'!$P$3,B1348&lt;='IN-NX'!$Q$3,'IN-NX'!$D$7=D1348,OR(LEFT(TH!L1348,2)="15",LEFT(TH!M1348,2)="15")),"x","")</f>
        <v/>
      </c>
      <c r="Y1348" s="55" t="str">
        <f>IF(AND(OR(LEFT(TH!L1348,2)="15",LEFT(TH!M1348,2)="15"),'152-CT'!$J$8=TH!F1348),"x","")</f>
        <v/>
      </c>
      <c r="Z1348" s="55" t="str">
        <f>IF(AND(OR(LEFT(TH!L1348,2)="15",LEFT(TH!M1348,2)="15"),TK!$E$7=TH!F1348),"x","")</f>
        <v/>
      </c>
      <c r="AA1348" s="55" t="str">
        <f>IF(AND(B1348&lt;=NKC!$N$8,B1348&gt;=NKC!$M$8),"x","")</f>
        <v/>
      </c>
      <c r="AC1348" s="226"/>
    </row>
    <row r="1349" spans="1:29" ht="15.75" customHeight="1">
      <c r="A1349" s="219">
        <f>IF(B1349&lt;&gt;"",IF(AND(B1349&gt;=_TM1,B1349&lt;=_TM2,OR(TH!L1349="1111",TH!M1349="1111")),TH!D1349,""),"")</f>
        <v>0</v>
      </c>
      <c r="B1349" s="36">
        <f t="shared" si="57"/>
        <v>11</v>
      </c>
      <c r="C1349" s="205">
        <f t="shared" si="58"/>
        <v>41228</v>
      </c>
      <c r="D1349" s="205"/>
      <c r="E1349" s="205">
        <v>41228</v>
      </c>
      <c r="F1349" s="206" t="s">
        <v>1492</v>
      </c>
      <c r="G1349" s="581" t="s">
        <v>1519</v>
      </c>
      <c r="H1349" s="207" t="s">
        <v>1256</v>
      </c>
      <c r="I1349" s="277">
        <v>506</v>
      </c>
      <c r="J1349" s="277">
        <v>8000</v>
      </c>
      <c r="K1349" s="38">
        <f t="shared" si="55"/>
        <v>4048000</v>
      </c>
      <c r="L1349" s="208" t="s">
        <v>49</v>
      </c>
      <c r="M1349" s="208" t="s">
        <v>208</v>
      </c>
      <c r="N1349" s="55" t="str">
        <f>IF(AND('331-CT'!$E$7=TH!H1349,OR(L1349="331",M1349="331")),"x","")</f>
        <v/>
      </c>
      <c r="O1349" s="55" t="str">
        <f>IF(AND($B1349&gt;='111'!$N$11,$B1349&lt;='111'!$O$11,OR($L1349=$O$7,$M1349=$O$7)),"x","")</f>
        <v>x</v>
      </c>
      <c r="P1349" s="55" t="str">
        <f>IF(AND($L1349=$O$7,$B1349&lt;'111'!$N$11),"x","")</f>
        <v/>
      </c>
      <c r="Q1349" s="55" t="str">
        <f>IF(AND($M1349=$O$7,$B1349&lt;'111'!$N$11),"x","")</f>
        <v/>
      </c>
      <c r="R1349" s="55" t="str">
        <f>IF(ISERROR(FIND('112'!$M$9,G1349,1)),"",IF((AND(FIND('112'!$M$9,G1349,1)&gt;=1,$B1349&gt;='112'!$N$8,$B1349&lt;='112'!$O$8,OR($L1349='112'!$I$6,$M1349='112'!$I$6))),"x",""))</f>
        <v/>
      </c>
      <c r="S1349" s="55" t="str">
        <f>IF(ISERROR(FIND('112'!$M$9,G1349,1)),"",IF((AND(LEFT(G1349,2)=LEFT('112'!$M$9,2),B1349&lt;'112'!$N$8,$L1349='112'!$I$6)),"x",""))</f>
        <v/>
      </c>
      <c r="T1349" s="55" t="str">
        <f>IF(ISERROR(FIND('112'!$M$9,G1349,1)),"",IF((AND(RIGHT(G1349,2)=RIGHT('112'!$M$9,2),B1349&lt;'112'!$N$8,$M1349='112'!$I$6)),"x",""))</f>
        <v/>
      </c>
      <c r="U1349" s="55" t="str">
        <f>IF(AND('3411-CT'!$F$9=H1349,OR(LEFT(L1349,3)=$U$7,LEFT(M1349,3)=$U$7)),"x","")</f>
        <v/>
      </c>
      <c r="V1349" s="55" t="str">
        <f>IF(OR(TH!L1349=TH!$V$7,M1349=TH!$V$7),"x","")</f>
        <v/>
      </c>
      <c r="W1349" s="55" t="str">
        <f>IF(AND(OR(L1349="131",M1349="131"),H1349='131-CT'!$E$7),"x","")</f>
        <v/>
      </c>
      <c r="X1349" s="55" t="str">
        <f>IF(AND(B1349&gt;='IN-NX'!$P$3,B1349&lt;='IN-NX'!$Q$3,'IN-NX'!$D$7=D1349,OR(LEFT(TH!L1349,2)="15",LEFT(TH!M1349,2)="15")),"x","")</f>
        <v/>
      </c>
      <c r="Y1349" s="55" t="str">
        <f>IF(AND(OR(LEFT(TH!L1349,2)="15",LEFT(TH!M1349,2)="15"),'152-CT'!$J$8=TH!F1349),"x","")</f>
        <v/>
      </c>
      <c r="Z1349" s="55" t="str">
        <f>IF(AND(OR(LEFT(TH!L1349,2)="15",LEFT(TH!M1349,2)="15"),TK!$E$7=TH!F1349),"x","")</f>
        <v/>
      </c>
      <c r="AA1349" s="55" t="str">
        <f>IF(AND(B1349&lt;=NKC!$N$8,B1349&gt;=NKC!$M$8),"x","")</f>
        <v/>
      </c>
    </row>
    <row r="1350" spans="1:29" ht="15.75" customHeight="1">
      <c r="A1350" s="219">
        <f>IF(B1350&lt;&gt;"",IF(AND(B1350&gt;=_TM1,B1350&lt;=_TM2,OR(TH!L1350="1111",TH!M1350="1111")),TH!D1350,""),"")</f>
        <v>0</v>
      </c>
      <c r="B1350" s="36">
        <f t="shared" si="57"/>
        <v>11</v>
      </c>
      <c r="C1350" s="205">
        <f t="shared" si="58"/>
        <v>41228</v>
      </c>
      <c r="D1350" s="205"/>
      <c r="E1350" s="205">
        <v>41228</v>
      </c>
      <c r="F1350" s="206" t="s">
        <v>1520</v>
      </c>
      <c r="G1350" s="581" t="s">
        <v>1519</v>
      </c>
      <c r="H1350" s="207" t="s">
        <v>1256</v>
      </c>
      <c r="I1350" s="277">
        <v>105</v>
      </c>
      <c r="J1350" s="277">
        <v>1100</v>
      </c>
      <c r="K1350" s="38">
        <f t="shared" si="55"/>
        <v>115500</v>
      </c>
      <c r="L1350" s="208" t="s">
        <v>49</v>
      </c>
      <c r="M1350" s="208" t="s">
        <v>208</v>
      </c>
      <c r="N1350" s="55" t="str">
        <f>IF(AND('331-CT'!$E$7=TH!H1350,OR(L1350="331",M1350="331")),"x","")</f>
        <v/>
      </c>
      <c r="O1350" s="55" t="str">
        <f>IF(AND($B1350&gt;='111'!$N$11,$B1350&lt;='111'!$O$11,OR($L1350=$O$7,$M1350=$O$7)),"x","")</f>
        <v>x</v>
      </c>
      <c r="P1350" s="55" t="str">
        <f>IF(AND($L1350=$O$7,$B1350&lt;'111'!$N$11),"x","")</f>
        <v/>
      </c>
      <c r="Q1350" s="55" t="str">
        <f>IF(AND($M1350=$O$7,$B1350&lt;'111'!$N$11),"x","")</f>
        <v/>
      </c>
      <c r="R1350" s="55" t="str">
        <f>IF(ISERROR(FIND('112'!$M$9,G1350,1)),"",IF((AND(FIND('112'!$M$9,G1350,1)&gt;=1,$B1350&gt;='112'!$N$8,$B1350&lt;='112'!$O$8,OR($L1350='112'!$I$6,$M1350='112'!$I$6))),"x",""))</f>
        <v/>
      </c>
      <c r="S1350" s="55" t="str">
        <f>IF(ISERROR(FIND('112'!$M$9,G1350,1)),"",IF((AND(LEFT(G1350,2)=LEFT('112'!$M$9,2),B1350&lt;'112'!$N$8,$L1350='112'!$I$6)),"x",""))</f>
        <v/>
      </c>
      <c r="T1350" s="55" t="str">
        <f>IF(ISERROR(FIND('112'!$M$9,G1350,1)),"",IF((AND(RIGHT(G1350,2)=RIGHT('112'!$M$9,2),B1350&lt;'112'!$N$8,$M1350='112'!$I$6)),"x",""))</f>
        <v/>
      </c>
      <c r="U1350" s="55" t="str">
        <f>IF(AND('3411-CT'!$F$9=H1350,OR(LEFT(L1350,3)=$U$7,LEFT(M1350,3)=$U$7)),"x","")</f>
        <v/>
      </c>
      <c r="V1350" s="55" t="str">
        <f>IF(OR(TH!L1350=TH!$V$7,M1350=TH!$V$7),"x","")</f>
        <v/>
      </c>
      <c r="W1350" s="55" t="str">
        <f>IF(AND(OR(L1350="131",M1350="131"),H1350='131-CT'!$E$7),"x","")</f>
        <v/>
      </c>
      <c r="X1350" s="55" t="str">
        <f>IF(AND(B1350&gt;='IN-NX'!$P$3,B1350&lt;='IN-NX'!$Q$3,'IN-NX'!$D$7=D1350,OR(LEFT(TH!L1350,2)="15",LEFT(TH!M1350,2)="15")),"x","")</f>
        <v/>
      </c>
      <c r="Y1350" s="55" t="str">
        <f>IF(AND(OR(LEFT(TH!L1350,2)="15",LEFT(TH!M1350,2)="15"),'152-CT'!$J$8=TH!F1350),"x","")</f>
        <v/>
      </c>
      <c r="Z1350" s="55" t="str">
        <f>IF(AND(OR(LEFT(TH!L1350,2)="15",LEFT(TH!M1350,2)="15"),TK!$E$7=TH!F1350),"x","")</f>
        <v/>
      </c>
      <c r="AA1350" s="55" t="str">
        <f>IF(AND(B1350&lt;=NKC!$N$8,B1350&gt;=NKC!$M$8),"x","")</f>
        <v/>
      </c>
    </row>
    <row r="1351" spans="1:29" ht="15.75" customHeight="1">
      <c r="A1351" s="219">
        <f>IF(B1351&lt;&gt;"",IF(AND(B1351&gt;=_TM1,B1351&lt;=_TM2,OR(TH!L1351="1111",TH!M1351="1111")),TH!D1351,""),"")</f>
        <v>0</v>
      </c>
      <c r="B1351" s="36">
        <f t="shared" si="57"/>
        <v>11</v>
      </c>
      <c r="C1351" s="205">
        <f t="shared" si="58"/>
        <v>41228</v>
      </c>
      <c r="D1351" s="205"/>
      <c r="E1351" s="205">
        <v>41228</v>
      </c>
      <c r="F1351" s="206" t="s">
        <v>1185</v>
      </c>
      <c r="G1351" s="581" t="s">
        <v>1519</v>
      </c>
      <c r="H1351" s="207" t="s">
        <v>1256</v>
      </c>
      <c r="I1351" s="277"/>
      <c r="J1351" s="277"/>
      <c r="K1351" s="38">
        <v>520300</v>
      </c>
      <c r="L1351" s="208" t="s">
        <v>49</v>
      </c>
      <c r="M1351" s="208" t="s">
        <v>549</v>
      </c>
      <c r="N1351" s="55" t="str">
        <f>IF(AND('331-CT'!$E$7=TH!H1351,OR(L1351="331",M1351="331")),"x","")</f>
        <v/>
      </c>
      <c r="O1351" s="55" t="str">
        <f>IF(AND($B1351&gt;='111'!$N$11,$B1351&lt;='111'!$O$11,OR($L1351=$O$7,$M1351=$O$7)),"x","")</f>
        <v>x</v>
      </c>
      <c r="P1351" s="55" t="str">
        <f>IF(AND($L1351=$O$7,$B1351&lt;'111'!$N$11),"x","")</f>
        <v/>
      </c>
      <c r="Q1351" s="55" t="str">
        <f>IF(AND($M1351=$O$7,$B1351&lt;'111'!$N$11),"x","")</f>
        <v/>
      </c>
      <c r="R1351" s="55" t="str">
        <f>IF(ISERROR(FIND('112'!$M$9,G1351,1)),"",IF((AND(FIND('112'!$M$9,G1351,1)&gt;=1,$B1351&gt;='112'!$N$8,$B1351&lt;='112'!$O$8,OR($L1351='112'!$I$6,$M1351='112'!$I$6))),"x",""))</f>
        <v/>
      </c>
      <c r="S1351" s="55" t="str">
        <f>IF(ISERROR(FIND('112'!$M$9,G1351,1)),"",IF((AND(LEFT(G1351,2)=LEFT('112'!$M$9,2),B1351&lt;'112'!$N$8,$L1351='112'!$I$6)),"x",""))</f>
        <v/>
      </c>
      <c r="T1351" s="55" t="str">
        <f>IF(ISERROR(FIND('112'!$M$9,G1351,1)),"",IF((AND(RIGHT(G1351,2)=RIGHT('112'!$M$9,2),B1351&lt;'112'!$N$8,$M1351='112'!$I$6)),"x",""))</f>
        <v/>
      </c>
      <c r="U1351" s="55" t="str">
        <f>IF(AND('3411-CT'!$F$9=H1351,OR(LEFT(L1351,3)=$U$7,LEFT(M1351,3)=$U$7)),"x","")</f>
        <v/>
      </c>
      <c r="V1351" s="55" t="str">
        <f>IF(OR(TH!L1351=TH!$V$7,M1351=TH!$V$7),"x","")</f>
        <v/>
      </c>
      <c r="W1351" s="55" t="str">
        <f>IF(AND(OR(L1351="131",M1351="131"),H1351='131-CT'!$E$7),"x","")</f>
        <v/>
      </c>
      <c r="X1351" s="55" t="str">
        <f>IF(AND(B1351&gt;='IN-NX'!$P$3,B1351&lt;='IN-NX'!$Q$3,'IN-NX'!$D$7=D1351,OR(LEFT(TH!L1351,2)="15",LEFT(TH!M1351,2)="15")),"x","")</f>
        <v/>
      </c>
      <c r="Y1351" s="55" t="str">
        <f>IF(AND(OR(LEFT(TH!L1351,2)="15",LEFT(TH!M1351,2)="15"),'152-CT'!$J$8=TH!F1351),"x","")</f>
        <v/>
      </c>
      <c r="Z1351" s="55" t="str">
        <f>IF(AND(OR(LEFT(TH!L1351,2)="15",LEFT(TH!M1351,2)="15"),TK!$E$7=TH!F1351),"x","")</f>
        <v/>
      </c>
      <c r="AA1351" s="55" t="str">
        <f>IF(AND(B1351&lt;=NKC!$N$8,B1351&gt;=NKC!$M$8),"x","")</f>
        <v/>
      </c>
      <c r="AC1351" s="226"/>
    </row>
    <row r="1352" spans="1:29" ht="15.75" customHeight="1">
      <c r="A1352" s="219" t="str">
        <f>IF(B1352&lt;&gt;"",IF(AND(B1352&gt;=_TM1,B1352&lt;=_TM2,OR(TH!L1352="1111",TH!M1352="1111")),TH!D1352,""),"")</f>
        <v/>
      </c>
      <c r="B1352" s="36">
        <f t="shared" si="57"/>
        <v>11</v>
      </c>
      <c r="C1352" s="205">
        <f t="shared" si="58"/>
        <v>41228</v>
      </c>
      <c r="D1352" s="205"/>
      <c r="E1352" s="205">
        <v>41228</v>
      </c>
      <c r="F1352" s="206" t="s">
        <v>1521</v>
      </c>
      <c r="G1352" s="581" t="s">
        <v>1522</v>
      </c>
      <c r="H1352" s="7" t="s">
        <v>1131</v>
      </c>
      <c r="I1352" s="277">
        <v>1005</v>
      </c>
      <c r="J1352" s="277">
        <v>13630</v>
      </c>
      <c r="K1352" s="38">
        <f t="shared" si="55"/>
        <v>13698150</v>
      </c>
      <c r="L1352" s="208" t="s">
        <v>311</v>
      </c>
      <c r="M1352" s="208" t="s">
        <v>208</v>
      </c>
      <c r="N1352" s="55" t="str">
        <f>IF(AND('331-CT'!$E$7=TH!H1352,OR(L1352="331",M1352="331")),"x","")</f>
        <v/>
      </c>
      <c r="O1352" s="55" t="str">
        <f>IF(AND($B1352&gt;='111'!$N$11,$B1352&lt;='111'!$O$11,OR($L1352=$O$7,$M1352=$O$7)),"x","")</f>
        <v/>
      </c>
      <c r="P1352" s="55" t="str">
        <f>IF(AND($L1352=$O$7,$B1352&lt;'111'!$N$11),"x","")</f>
        <v/>
      </c>
      <c r="Q1352" s="55" t="str">
        <f>IF(AND($M1352=$O$7,$B1352&lt;'111'!$N$11),"x","")</f>
        <v/>
      </c>
      <c r="R1352" s="55" t="str">
        <f>IF(ISERROR(FIND('112'!$M$9,G1352,1)),"",IF((AND(FIND('112'!$M$9,G1352,1)&gt;=1,$B1352&gt;='112'!$N$8,$B1352&lt;='112'!$O$8,OR($L1352='112'!$I$6,$M1352='112'!$I$6))),"x",""))</f>
        <v/>
      </c>
      <c r="S1352" s="55" t="str">
        <f>IF(ISERROR(FIND('112'!$M$9,G1352,1)),"",IF((AND(LEFT(G1352,2)=LEFT('112'!$M$9,2),B1352&lt;'112'!$N$8,$L1352='112'!$I$6)),"x",""))</f>
        <v/>
      </c>
      <c r="T1352" s="55" t="str">
        <f>IF(ISERROR(FIND('112'!$M$9,G1352,1)),"",IF((AND(RIGHT(G1352,2)=RIGHT('112'!$M$9,2),B1352&lt;'112'!$N$8,$M1352='112'!$I$6)),"x",""))</f>
        <v/>
      </c>
      <c r="U1352" s="55" t="str">
        <f>IF(AND('3411-CT'!$F$9=H1352,OR(LEFT(L1352,3)=$U$7,LEFT(M1352,3)=$U$7)),"x","")</f>
        <v/>
      </c>
      <c r="V1352" s="55" t="str">
        <f>IF(OR(TH!L1352=TH!$V$7,M1352=TH!$V$7),"x","")</f>
        <v/>
      </c>
      <c r="W1352" s="55" t="str">
        <f>IF(AND(OR(L1352="131",M1352="131"),H1352='131-CT'!$E$7),"x","")</f>
        <v/>
      </c>
      <c r="X1352" s="55" t="str">
        <f>IF(AND(B1352&gt;='IN-NX'!$P$3,B1352&lt;='IN-NX'!$Q$3,'IN-NX'!$D$7=D1352,OR(LEFT(TH!L1352,2)="15",LEFT(TH!M1352,2)="15")),"x","")</f>
        <v/>
      </c>
      <c r="Y1352" s="55" t="str">
        <f>IF(AND(OR(LEFT(TH!L1352,2)="15",LEFT(TH!M1352,2)="15"),'152-CT'!$J$8=TH!F1352),"x","")</f>
        <v/>
      </c>
      <c r="Z1352" s="55" t="str">
        <f>IF(AND(OR(LEFT(TH!L1352,2)="15",LEFT(TH!M1352,2)="15"),TK!$E$7=TH!F1352),"x","")</f>
        <v/>
      </c>
      <c r="AA1352" s="55" t="str">
        <f>IF(AND(B1352&lt;=NKC!$N$8,B1352&gt;=NKC!$M$8),"x","")</f>
        <v/>
      </c>
    </row>
    <row r="1353" spans="1:29" ht="15.75" customHeight="1">
      <c r="A1353" s="219" t="str">
        <f>IF(B1353&lt;&gt;"",IF(AND(B1353&gt;=_TM1,B1353&lt;=_TM2,OR(TH!L1353="1111",TH!M1353="1111")),TH!D1353,""),"")</f>
        <v/>
      </c>
      <c r="B1353" s="36">
        <f t="shared" si="57"/>
        <v>11</v>
      </c>
      <c r="C1353" s="205">
        <f t="shared" si="58"/>
        <v>41228</v>
      </c>
      <c r="D1353" s="205"/>
      <c r="E1353" s="205">
        <v>41228</v>
      </c>
      <c r="F1353" s="206" t="s">
        <v>1185</v>
      </c>
      <c r="G1353" s="581" t="s">
        <v>1522</v>
      </c>
      <c r="H1353" s="7" t="s">
        <v>1131</v>
      </c>
      <c r="I1353" s="277"/>
      <c r="J1353" s="277"/>
      <c r="K1353" s="38">
        <v>1369815</v>
      </c>
      <c r="L1353" s="208" t="s">
        <v>311</v>
      </c>
      <c r="M1353" s="208" t="s">
        <v>549</v>
      </c>
      <c r="N1353" s="55" t="str">
        <f>IF(AND('331-CT'!$E$7=TH!H1353,OR(L1353="331",M1353="331")),"x","")</f>
        <v/>
      </c>
      <c r="O1353" s="55" t="str">
        <f>IF(AND($B1353&gt;='111'!$N$11,$B1353&lt;='111'!$O$11,OR($L1353=$O$7,$M1353=$O$7)),"x","")</f>
        <v/>
      </c>
      <c r="P1353" s="55" t="str">
        <f>IF(AND($L1353=$O$7,$B1353&lt;'111'!$N$11),"x","")</f>
        <v/>
      </c>
      <c r="Q1353" s="55" t="str">
        <f>IF(AND($M1353=$O$7,$B1353&lt;'111'!$N$11),"x","")</f>
        <v/>
      </c>
      <c r="R1353" s="55" t="str">
        <f>IF(ISERROR(FIND('112'!$M$9,G1353,1)),"",IF((AND(FIND('112'!$M$9,G1353,1)&gt;=1,$B1353&gt;='112'!$N$8,$B1353&lt;='112'!$O$8,OR($L1353='112'!$I$6,$M1353='112'!$I$6))),"x",""))</f>
        <v/>
      </c>
      <c r="S1353" s="55" t="str">
        <f>IF(ISERROR(FIND('112'!$M$9,G1353,1)),"",IF((AND(LEFT(G1353,2)=LEFT('112'!$M$9,2),B1353&lt;'112'!$N$8,$L1353='112'!$I$6)),"x",""))</f>
        <v/>
      </c>
      <c r="T1353" s="55" t="str">
        <f>IF(ISERROR(FIND('112'!$M$9,G1353,1)),"",IF((AND(RIGHT(G1353,2)=RIGHT('112'!$M$9,2),B1353&lt;'112'!$N$8,$M1353='112'!$I$6)),"x",""))</f>
        <v/>
      </c>
      <c r="U1353" s="55" t="str">
        <f>IF(AND('3411-CT'!$F$9=H1353,OR(LEFT(L1353,3)=$U$7,LEFT(M1353,3)=$U$7)),"x","")</f>
        <v/>
      </c>
      <c r="V1353" s="55" t="str">
        <f>IF(OR(TH!L1353=TH!$V$7,M1353=TH!$V$7),"x","")</f>
        <v/>
      </c>
      <c r="W1353" s="55" t="str">
        <f>IF(AND(OR(L1353="131",M1353="131"),H1353='131-CT'!$E$7),"x","")</f>
        <v/>
      </c>
      <c r="X1353" s="55" t="str">
        <f>IF(AND(B1353&gt;='IN-NX'!$P$3,B1353&lt;='IN-NX'!$Q$3,'IN-NX'!$D$7=D1353,OR(LEFT(TH!L1353,2)="15",LEFT(TH!M1353,2)="15")),"x","")</f>
        <v/>
      </c>
      <c r="Y1353" s="55" t="str">
        <f>IF(AND(OR(LEFT(TH!L1353,2)="15",LEFT(TH!M1353,2)="15"),'152-CT'!$J$8=TH!F1353),"x","")</f>
        <v/>
      </c>
      <c r="Z1353" s="55" t="str">
        <f>IF(AND(OR(LEFT(TH!L1353,2)="15",LEFT(TH!M1353,2)="15"),TK!$E$7=TH!F1353),"x","")</f>
        <v/>
      </c>
      <c r="AA1353" s="55" t="str">
        <f>IF(AND(B1353&lt;=NKC!$N$8,B1353&gt;=NKC!$M$8),"x","")</f>
        <v/>
      </c>
      <c r="AC1353" s="226"/>
    </row>
    <row r="1354" spans="1:29" ht="15.75" customHeight="1">
      <c r="A1354" s="219">
        <f>IF(B1354&lt;&gt;"",IF(AND(B1354&gt;=_TM1,B1354&lt;=_TM2,OR(TH!L1354="1111",TH!M1354="1111")),TH!D1354,""),"")</f>
        <v>0</v>
      </c>
      <c r="B1354" s="36">
        <f t="shared" si="57"/>
        <v>11</v>
      </c>
      <c r="C1354" s="205">
        <f t="shared" si="58"/>
        <v>41235</v>
      </c>
      <c r="D1354" s="205"/>
      <c r="E1354" s="205">
        <v>41235</v>
      </c>
      <c r="F1354" s="206" t="s">
        <v>1470</v>
      </c>
      <c r="G1354" s="581" t="s">
        <v>1523</v>
      </c>
      <c r="H1354" s="207" t="s">
        <v>1327</v>
      </c>
      <c r="I1354" s="277">
        <v>220</v>
      </c>
      <c r="J1354" s="277">
        <v>10650</v>
      </c>
      <c r="K1354" s="38">
        <f t="shared" si="55"/>
        <v>2343000</v>
      </c>
      <c r="L1354" s="208" t="s">
        <v>49</v>
      </c>
      <c r="M1354" s="208" t="s">
        <v>208</v>
      </c>
      <c r="N1354" s="55" t="str">
        <f>IF(AND('331-CT'!$E$7=TH!H1354,OR(L1354="331",M1354="331")),"x","")</f>
        <v/>
      </c>
      <c r="O1354" s="55" t="str">
        <f>IF(AND($B1354&gt;='111'!$N$11,$B1354&lt;='111'!$O$11,OR($L1354=$O$7,$M1354=$O$7)),"x","")</f>
        <v>x</v>
      </c>
      <c r="P1354" s="55" t="str">
        <f>IF(AND($L1354=$O$7,$B1354&lt;'111'!$N$11),"x","")</f>
        <v/>
      </c>
      <c r="Q1354" s="55" t="str">
        <f>IF(AND($M1354=$O$7,$B1354&lt;'111'!$N$11),"x","")</f>
        <v/>
      </c>
      <c r="R1354" s="55" t="str">
        <f>IF(ISERROR(FIND('112'!$M$9,G1354,1)),"",IF((AND(FIND('112'!$M$9,G1354,1)&gt;=1,$B1354&gt;='112'!$N$8,$B1354&lt;='112'!$O$8,OR($L1354='112'!$I$6,$M1354='112'!$I$6))),"x",""))</f>
        <v/>
      </c>
      <c r="S1354" s="55" t="str">
        <f>IF(ISERROR(FIND('112'!$M$9,G1354,1)),"",IF((AND(LEFT(G1354,2)=LEFT('112'!$M$9,2),B1354&lt;'112'!$N$8,$L1354='112'!$I$6)),"x",""))</f>
        <v/>
      </c>
      <c r="T1354" s="55" t="str">
        <f>IF(ISERROR(FIND('112'!$M$9,G1354,1)),"",IF((AND(RIGHT(G1354,2)=RIGHT('112'!$M$9,2),B1354&lt;'112'!$N$8,$M1354='112'!$I$6)),"x",""))</f>
        <v/>
      </c>
      <c r="U1354" s="55" t="str">
        <f>IF(AND('3411-CT'!$F$9=H1354,OR(LEFT(L1354,3)=$U$7,LEFT(M1354,3)=$U$7)),"x","")</f>
        <v/>
      </c>
      <c r="V1354" s="55" t="str">
        <f>IF(OR(TH!L1354=TH!$V$7,M1354=TH!$V$7),"x","")</f>
        <v/>
      </c>
      <c r="W1354" s="55" t="str">
        <f>IF(AND(OR(L1354="131",M1354="131"),H1354='131-CT'!$E$7),"x","")</f>
        <v/>
      </c>
      <c r="X1354" s="55" t="str">
        <f>IF(AND(B1354&gt;='IN-NX'!$P$3,B1354&lt;='IN-NX'!$Q$3,'IN-NX'!$D$7=D1354,OR(LEFT(TH!L1354,2)="15",LEFT(TH!M1354,2)="15")),"x","")</f>
        <v/>
      </c>
      <c r="Y1354" s="55" t="str">
        <f>IF(AND(OR(LEFT(TH!L1354,2)="15",LEFT(TH!M1354,2)="15"),'152-CT'!$J$8=TH!F1354),"x","")</f>
        <v/>
      </c>
      <c r="Z1354" s="55" t="str">
        <f>IF(AND(OR(LEFT(TH!L1354,2)="15",LEFT(TH!M1354,2)="15"),TK!$E$7=TH!F1354),"x","")</f>
        <v/>
      </c>
      <c r="AA1354" s="55" t="str">
        <f>IF(AND(B1354&lt;=NKC!$N$8,B1354&gt;=NKC!$M$8),"x","")</f>
        <v/>
      </c>
    </row>
    <row r="1355" spans="1:29" ht="15.75" customHeight="1">
      <c r="A1355" s="219">
        <f>IF(B1355&lt;&gt;"",IF(AND(B1355&gt;=_TM1,B1355&lt;=_TM2,OR(TH!L1355="1111",TH!M1355="1111")),TH!D1355,""),"")</f>
        <v>0</v>
      </c>
      <c r="B1355" s="36">
        <f t="shared" si="57"/>
        <v>11</v>
      </c>
      <c r="C1355" s="205">
        <f t="shared" si="58"/>
        <v>41235</v>
      </c>
      <c r="D1355" s="205"/>
      <c r="E1355" s="205">
        <v>41235</v>
      </c>
      <c r="F1355" s="206" t="s">
        <v>1468</v>
      </c>
      <c r="G1355" s="581" t="s">
        <v>1523</v>
      </c>
      <c r="H1355" s="207" t="s">
        <v>1327</v>
      </c>
      <c r="I1355" s="277">
        <v>258</v>
      </c>
      <c r="J1355" s="277">
        <v>13700</v>
      </c>
      <c r="K1355" s="38">
        <f t="shared" si="55"/>
        <v>3534600</v>
      </c>
      <c r="L1355" s="208" t="s">
        <v>49</v>
      </c>
      <c r="M1355" s="208" t="s">
        <v>208</v>
      </c>
      <c r="N1355" s="55" t="str">
        <f>IF(AND('331-CT'!$E$7=TH!H1355,OR(L1355="331",M1355="331")),"x","")</f>
        <v/>
      </c>
      <c r="O1355" s="55" t="str">
        <f>IF(AND($B1355&gt;='111'!$N$11,$B1355&lt;='111'!$O$11,OR($L1355=$O$7,$M1355=$O$7)),"x","")</f>
        <v>x</v>
      </c>
      <c r="P1355" s="55" t="str">
        <f>IF(AND($L1355=$O$7,$B1355&lt;'111'!$N$11),"x","")</f>
        <v/>
      </c>
      <c r="Q1355" s="55" t="str">
        <f>IF(AND($M1355=$O$7,$B1355&lt;'111'!$N$11),"x","")</f>
        <v/>
      </c>
      <c r="R1355" s="55" t="str">
        <f>IF(ISERROR(FIND('112'!$M$9,G1355,1)),"",IF((AND(FIND('112'!$M$9,G1355,1)&gt;=1,$B1355&gt;='112'!$N$8,$B1355&lt;='112'!$O$8,OR($L1355='112'!$I$6,$M1355='112'!$I$6))),"x",""))</f>
        <v/>
      </c>
      <c r="S1355" s="55" t="str">
        <f>IF(ISERROR(FIND('112'!$M$9,G1355,1)),"",IF((AND(LEFT(G1355,2)=LEFT('112'!$M$9,2),B1355&lt;'112'!$N$8,$L1355='112'!$I$6)),"x",""))</f>
        <v/>
      </c>
      <c r="T1355" s="55" t="str">
        <f>IF(ISERROR(FIND('112'!$M$9,G1355,1)),"",IF((AND(RIGHT(G1355,2)=RIGHT('112'!$M$9,2),B1355&lt;'112'!$N$8,$M1355='112'!$I$6)),"x",""))</f>
        <v/>
      </c>
      <c r="U1355" s="55" t="str">
        <f>IF(AND('3411-CT'!$F$9=H1355,OR(LEFT(L1355,3)=$U$7,LEFT(M1355,3)=$U$7)),"x","")</f>
        <v/>
      </c>
      <c r="V1355" s="55" t="str">
        <f>IF(OR(TH!L1355=TH!$V$7,M1355=TH!$V$7),"x","")</f>
        <v/>
      </c>
      <c r="W1355" s="55" t="str">
        <f>IF(AND(OR(L1355="131",M1355="131"),H1355='131-CT'!$E$7),"x","")</f>
        <v/>
      </c>
      <c r="X1355" s="55" t="str">
        <f>IF(AND(B1355&gt;='IN-NX'!$P$3,B1355&lt;='IN-NX'!$Q$3,'IN-NX'!$D$7=D1355,OR(LEFT(TH!L1355,2)="15",LEFT(TH!M1355,2)="15")),"x","")</f>
        <v/>
      </c>
      <c r="Y1355" s="55" t="str">
        <f>IF(AND(OR(LEFT(TH!L1355,2)="15",LEFT(TH!M1355,2)="15"),'152-CT'!$J$8=TH!F1355),"x","")</f>
        <v/>
      </c>
      <c r="Z1355" s="55" t="str">
        <f>IF(AND(OR(LEFT(TH!L1355,2)="15",LEFT(TH!M1355,2)="15"),TK!$E$7=TH!F1355),"x","")</f>
        <v/>
      </c>
      <c r="AA1355" s="55" t="str">
        <f>IF(AND(B1355&lt;=NKC!$N$8,B1355&gt;=NKC!$M$8),"x","")</f>
        <v/>
      </c>
    </row>
    <row r="1356" spans="1:29" ht="15.75" customHeight="1">
      <c r="A1356" s="219">
        <f>IF(B1356&lt;&gt;"",IF(AND(B1356&gt;=_TM1,B1356&lt;=_TM2,OR(TH!L1356="1111",TH!M1356="1111")),TH!D1356,""),"")</f>
        <v>0</v>
      </c>
      <c r="B1356" s="36">
        <f t="shared" si="57"/>
        <v>11</v>
      </c>
      <c r="C1356" s="205">
        <f t="shared" si="58"/>
        <v>41235</v>
      </c>
      <c r="D1356" s="205"/>
      <c r="E1356" s="205">
        <v>41235</v>
      </c>
      <c r="F1356" s="206" t="s">
        <v>1524</v>
      </c>
      <c r="G1356" s="581" t="s">
        <v>1523</v>
      </c>
      <c r="H1356" s="207" t="s">
        <v>1327</v>
      </c>
      <c r="I1356" s="277">
        <v>295</v>
      </c>
      <c r="J1356" s="277">
        <v>11900</v>
      </c>
      <c r="K1356" s="38">
        <f t="shared" si="55"/>
        <v>3510500</v>
      </c>
      <c r="L1356" s="208" t="s">
        <v>49</v>
      </c>
      <c r="M1356" s="208" t="s">
        <v>208</v>
      </c>
      <c r="N1356" s="55" t="str">
        <f>IF(AND('331-CT'!$E$7=TH!H1356,OR(L1356="331",M1356="331")),"x","")</f>
        <v/>
      </c>
      <c r="O1356" s="55" t="str">
        <f>IF(AND($B1356&gt;='111'!$N$11,$B1356&lt;='111'!$O$11,OR($L1356=$O$7,$M1356=$O$7)),"x","")</f>
        <v>x</v>
      </c>
      <c r="P1356" s="55" t="str">
        <f>IF(AND($L1356=$O$7,$B1356&lt;'111'!$N$11),"x","")</f>
        <v/>
      </c>
      <c r="Q1356" s="55" t="str">
        <f>IF(AND($M1356=$O$7,$B1356&lt;'111'!$N$11),"x","")</f>
        <v/>
      </c>
      <c r="R1356" s="55" t="str">
        <f>IF(ISERROR(FIND('112'!$M$9,G1356,1)),"",IF((AND(FIND('112'!$M$9,G1356,1)&gt;=1,$B1356&gt;='112'!$N$8,$B1356&lt;='112'!$O$8,OR($L1356='112'!$I$6,$M1356='112'!$I$6))),"x",""))</f>
        <v/>
      </c>
      <c r="S1356" s="55" t="str">
        <f>IF(ISERROR(FIND('112'!$M$9,G1356,1)),"",IF((AND(LEFT(G1356,2)=LEFT('112'!$M$9,2),B1356&lt;'112'!$N$8,$L1356='112'!$I$6)),"x",""))</f>
        <v/>
      </c>
      <c r="T1356" s="55" t="str">
        <f>IF(ISERROR(FIND('112'!$M$9,G1356,1)),"",IF((AND(RIGHT(G1356,2)=RIGHT('112'!$M$9,2),B1356&lt;'112'!$N$8,$M1356='112'!$I$6)),"x",""))</f>
        <v/>
      </c>
      <c r="U1356" s="55" t="str">
        <f>IF(AND('3411-CT'!$F$9=H1356,OR(LEFT(L1356,3)=$U$7,LEFT(M1356,3)=$U$7)),"x","")</f>
        <v/>
      </c>
      <c r="V1356" s="55" t="str">
        <f>IF(OR(TH!L1356=TH!$V$7,M1356=TH!$V$7),"x","")</f>
        <v/>
      </c>
      <c r="W1356" s="55" t="str">
        <f>IF(AND(OR(L1356="131",M1356="131"),H1356='131-CT'!$E$7),"x","")</f>
        <v/>
      </c>
      <c r="X1356" s="55" t="str">
        <f>IF(AND(B1356&gt;='IN-NX'!$P$3,B1356&lt;='IN-NX'!$Q$3,'IN-NX'!$D$7=D1356,OR(LEFT(TH!L1356,2)="15",LEFT(TH!M1356,2)="15")),"x","")</f>
        <v/>
      </c>
      <c r="Y1356" s="55" t="str">
        <f>IF(AND(OR(LEFT(TH!L1356,2)="15",LEFT(TH!M1356,2)="15"),'152-CT'!$J$8=TH!F1356),"x","")</f>
        <v/>
      </c>
      <c r="Z1356" s="55" t="str">
        <f>IF(AND(OR(LEFT(TH!L1356,2)="15",LEFT(TH!M1356,2)="15"),TK!$E$7=TH!F1356),"x","")</f>
        <v/>
      </c>
      <c r="AA1356" s="55" t="str">
        <f>IF(AND(B1356&lt;=NKC!$N$8,B1356&gt;=NKC!$M$8),"x","")</f>
        <v/>
      </c>
    </row>
    <row r="1357" spans="1:29" ht="15.75" customHeight="1">
      <c r="A1357" s="219">
        <f>IF(B1357&lt;&gt;"",IF(AND(B1357&gt;=_TM1,B1357&lt;=_TM2,OR(TH!L1357="1111",TH!M1357="1111")),TH!D1357,""),"")</f>
        <v>0</v>
      </c>
      <c r="B1357" s="36">
        <f t="shared" si="57"/>
        <v>11</v>
      </c>
      <c r="C1357" s="205">
        <f t="shared" si="58"/>
        <v>41235</v>
      </c>
      <c r="D1357" s="205"/>
      <c r="E1357" s="205">
        <v>41235</v>
      </c>
      <c r="F1357" s="206" t="s">
        <v>1525</v>
      </c>
      <c r="G1357" s="581" t="s">
        <v>1523</v>
      </c>
      <c r="H1357" s="207" t="s">
        <v>1327</v>
      </c>
      <c r="I1357" s="277">
        <v>297</v>
      </c>
      <c r="J1357" s="277">
        <v>12600</v>
      </c>
      <c r="K1357" s="38">
        <f t="shared" si="55"/>
        <v>3742200</v>
      </c>
      <c r="L1357" s="208" t="s">
        <v>49</v>
      </c>
      <c r="M1357" s="208" t="s">
        <v>208</v>
      </c>
      <c r="N1357" s="55" t="str">
        <f>IF(AND('331-CT'!$E$7=TH!H1357,OR(L1357="331",M1357="331")),"x","")</f>
        <v/>
      </c>
      <c r="O1357" s="55" t="str">
        <f>IF(AND($B1357&gt;='111'!$N$11,$B1357&lt;='111'!$O$11,OR($L1357=$O$7,$M1357=$O$7)),"x","")</f>
        <v>x</v>
      </c>
      <c r="P1357" s="55" t="str">
        <f>IF(AND($L1357=$O$7,$B1357&lt;'111'!$N$11),"x","")</f>
        <v/>
      </c>
      <c r="Q1357" s="55" t="str">
        <f>IF(AND($M1357=$O$7,$B1357&lt;'111'!$N$11),"x","")</f>
        <v/>
      </c>
      <c r="R1357" s="55" t="str">
        <f>IF(ISERROR(FIND('112'!$M$9,G1357,1)),"",IF((AND(FIND('112'!$M$9,G1357,1)&gt;=1,$B1357&gt;='112'!$N$8,$B1357&lt;='112'!$O$8,OR($L1357='112'!$I$6,$M1357='112'!$I$6))),"x",""))</f>
        <v/>
      </c>
      <c r="S1357" s="55" t="str">
        <f>IF(ISERROR(FIND('112'!$M$9,G1357,1)),"",IF((AND(LEFT(G1357,2)=LEFT('112'!$M$9,2),B1357&lt;'112'!$N$8,$L1357='112'!$I$6)),"x",""))</f>
        <v/>
      </c>
      <c r="T1357" s="55" t="str">
        <f>IF(ISERROR(FIND('112'!$M$9,G1357,1)),"",IF((AND(RIGHT(G1357,2)=RIGHT('112'!$M$9,2),B1357&lt;'112'!$N$8,$M1357='112'!$I$6)),"x",""))</f>
        <v/>
      </c>
      <c r="U1357" s="55" t="str">
        <f>IF(AND('3411-CT'!$F$9=H1357,OR(LEFT(L1357,3)=$U$7,LEFT(M1357,3)=$U$7)),"x","")</f>
        <v/>
      </c>
      <c r="V1357" s="55" t="str">
        <f>IF(OR(TH!L1357=TH!$V$7,M1357=TH!$V$7),"x","")</f>
        <v/>
      </c>
      <c r="W1357" s="55" t="str">
        <f>IF(AND(OR(L1357="131",M1357="131"),H1357='131-CT'!$E$7),"x","")</f>
        <v/>
      </c>
      <c r="X1357" s="55" t="str">
        <f>IF(AND(B1357&gt;='IN-NX'!$P$3,B1357&lt;='IN-NX'!$Q$3,'IN-NX'!$D$7=D1357,OR(LEFT(TH!L1357,2)="15",LEFT(TH!M1357,2)="15")),"x","")</f>
        <v/>
      </c>
      <c r="Y1357" s="55" t="str">
        <f>IF(AND(OR(LEFT(TH!L1357,2)="15",LEFT(TH!M1357,2)="15"),'152-CT'!$J$8=TH!F1357),"x","")</f>
        <v/>
      </c>
      <c r="Z1357" s="55" t="str">
        <f>IF(AND(OR(LEFT(TH!L1357,2)="15",LEFT(TH!M1357,2)="15"),TK!$E$7=TH!F1357),"x","")</f>
        <v/>
      </c>
      <c r="AA1357" s="55" t="str">
        <f>IF(AND(B1357&lt;=NKC!$N$8,B1357&gt;=NKC!$M$8),"x","")</f>
        <v/>
      </c>
    </row>
    <row r="1358" spans="1:29" ht="15.75" customHeight="1">
      <c r="A1358" s="219">
        <f>IF(B1358&lt;&gt;"",IF(AND(B1358&gt;=_TM1,B1358&lt;=_TM2,OR(TH!L1358="1111",TH!M1358="1111")),TH!D1358,""),"")</f>
        <v>0</v>
      </c>
      <c r="B1358" s="36">
        <f t="shared" si="57"/>
        <v>11</v>
      </c>
      <c r="C1358" s="205">
        <f t="shared" si="58"/>
        <v>41235</v>
      </c>
      <c r="D1358" s="205"/>
      <c r="E1358" s="205">
        <v>41235</v>
      </c>
      <c r="F1358" s="206" t="s">
        <v>1185</v>
      </c>
      <c r="G1358" s="581" t="s">
        <v>1523</v>
      </c>
      <c r="H1358" s="207" t="s">
        <v>1327</v>
      </c>
      <c r="I1358" s="277"/>
      <c r="J1358" s="277"/>
      <c r="K1358" s="38">
        <v>1313030</v>
      </c>
      <c r="L1358" s="208" t="s">
        <v>49</v>
      </c>
      <c r="M1358" s="208" t="s">
        <v>549</v>
      </c>
      <c r="N1358" s="55" t="str">
        <f>IF(AND('331-CT'!$E$7=TH!H1358,OR(L1358="331",M1358="331")),"x","")</f>
        <v/>
      </c>
      <c r="O1358" s="55" t="str">
        <f>IF(AND($B1358&gt;='111'!$N$11,$B1358&lt;='111'!$O$11,OR($L1358=$O$7,$M1358=$O$7)),"x","")</f>
        <v>x</v>
      </c>
      <c r="P1358" s="55" t="str">
        <f>IF(AND($L1358=$O$7,$B1358&lt;'111'!$N$11),"x","")</f>
        <v/>
      </c>
      <c r="Q1358" s="55" t="str">
        <f>IF(AND($M1358=$O$7,$B1358&lt;'111'!$N$11),"x","")</f>
        <v/>
      </c>
      <c r="R1358" s="55" t="str">
        <f>IF(ISERROR(FIND('112'!$M$9,G1358,1)),"",IF((AND(FIND('112'!$M$9,G1358,1)&gt;=1,$B1358&gt;='112'!$N$8,$B1358&lt;='112'!$O$8,OR($L1358='112'!$I$6,$M1358='112'!$I$6))),"x",""))</f>
        <v/>
      </c>
      <c r="S1358" s="55" t="str">
        <f>IF(ISERROR(FIND('112'!$M$9,G1358,1)),"",IF((AND(LEFT(G1358,2)=LEFT('112'!$M$9,2),B1358&lt;'112'!$N$8,$L1358='112'!$I$6)),"x",""))</f>
        <v/>
      </c>
      <c r="T1358" s="55" t="str">
        <f>IF(ISERROR(FIND('112'!$M$9,G1358,1)),"",IF((AND(RIGHT(G1358,2)=RIGHT('112'!$M$9,2),B1358&lt;'112'!$N$8,$M1358='112'!$I$6)),"x",""))</f>
        <v/>
      </c>
      <c r="U1358" s="55" t="str">
        <f>IF(AND('3411-CT'!$F$9=H1358,OR(LEFT(L1358,3)=$U$7,LEFT(M1358,3)=$U$7)),"x","")</f>
        <v/>
      </c>
      <c r="V1358" s="55" t="str">
        <f>IF(OR(TH!L1358=TH!$V$7,M1358=TH!$V$7),"x","")</f>
        <v/>
      </c>
      <c r="W1358" s="55" t="str">
        <f>IF(AND(OR(L1358="131",M1358="131"),H1358='131-CT'!$E$7),"x","")</f>
        <v/>
      </c>
      <c r="X1358" s="55" t="str">
        <f>IF(AND(B1358&gt;='IN-NX'!$P$3,B1358&lt;='IN-NX'!$Q$3,'IN-NX'!$D$7=D1358,OR(LEFT(TH!L1358,2)="15",LEFT(TH!M1358,2)="15")),"x","")</f>
        <v/>
      </c>
      <c r="Y1358" s="55" t="str">
        <f>IF(AND(OR(LEFT(TH!L1358,2)="15",LEFT(TH!M1358,2)="15"),'152-CT'!$J$8=TH!F1358),"x","")</f>
        <v/>
      </c>
      <c r="Z1358" s="55" t="str">
        <f>IF(AND(OR(LEFT(TH!L1358,2)="15",LEFT(TH!M1358,2)="15"),TK!$E$7=TH!F1358),"x","")</f>
        <v/>
      </c>
      <c r="AA1358" s="55" t="str">
        <f>IF(AND(B1358&lt;=NKC!$N$8,B1358&gt;=NKC!$M$8),"x","")</f>
        <v/>
      </c>
      <c r="AC1358" s="226"/>
    </row>
    <row r="1359" spans="1:29" ht="15.75" customHeight="1">
      <c r="A1359" s="219" t="str">
        <f>IF(B1359&lt;&gt;"",IF(AND(B1359&gt;=_TM1,B1359&lt;=_TM2,OR(TH!L1359="1111",TH!M1359="1111")),TH!D1359,""),"")</f>
        <v/>
      </c>
      <c r="B1359" s="36">
        <f t="shared" si="57"/>
        <v>12</v>
      </c>
      <c r="C1359" s="205">
        <f t="shared" si="58"/>
        <v>41244</v>
      </c>
      <c r="D1359" s="205"/>
      <c r="E1359" s="205">
        <v>41244</v>
      </c>
      <c r="F1359" s="206" t="s">
        <v>1500</v>
      </c>
      <c r="G1359" s="581" t="s">
        <v>1526</v>
      </c>
      <c r="H1359" s="207" t="s">
        <v>1146</v>
      </c>
      <c r="I1359" s="277">
        <v>1050</v>
      </c>
      <c r="J1359" s="277">
        <v>8740</v>
      </c>
      <c r="K1359" s="38">
        <f t="shared" si="55"/>
        <v>9177000</v>
      </c>
      <c r="L1359" s="208" t="s">
        <v>311</v>
      </c>
      <c r="M1359" s="208" t="s">
        <v>208</v>
      </c>
      <c r="N1359" s="55" t="str">
        <f>IF(AND('331-CT'!$E$7=TH!H1359,OR(L1359="331",M1359="331")),"x","")</f>
        <v/>
      </c>
      <c r="O1359" s="55" t="str">
        <f>IF(AND($B1359&gt;='111'!$N$11,$B1359&lt;='111'!$O$11,OR($L1359=$O$7,$M1359=$O$7)),"x","")</f>
        <v/>
      </c>
      <c r="P1359" s="55" t="str">
        <f>IF(AND($L1359=$O$7,$B1359&lt;'111'!$N$11),"x","")</f>
        <v/>
      </c>
      <c r="Q1359" s="55" t="str">
        <f>IF(AND($M1359=$O$7,$B1359&lt;'111'!$N$11),"x","")</f>
        <v/>
      </c>
      <c r="R1359" s="55" t="str">
        <f>IF(ISERROR(FIND('112'!$M$9,G1359,1)),"",IF((AND(FIND('112'!$M$9,G1359,1)&gt;=1,$B1359&gt;='112'!$N$8,$B1359&lt;='112'!$O$8,OR($L1359='112'!$I$6,$M1359='112'!$I$6))),"x",""))</f>
        <v/>
      </c>
      <c r="S1359" s="55" t="str">
        <f>IF(ISERROR(FIND('112'!$M$9,G1359,1)),"",IF((AND(LEFT(G1359,2)=LEFT('112'!$M$9,2),B1359&lt;'112'!$N$8,$L1359='112'!$I$6)),"x",""))</f>
        <v/>
      </c>
      <c r="T1359" s="55" t="str">
        <f>IF(ISERROR(FIND('112'!$M$9,G1359,1)),"",IF((AND(RIGHT(G1359,2)=RIGHT('112'!$M$9,2),B1359&lt;'112'!$N$8,$M1359='112'!$I$6)),"x",""))</f>
        <v/>
      </c>
      <c r="U1359" s="55" t="str">
        <f>IF(AND('3411-CT'!$F$9=H1359,OR(LEFT(L1359,3)=$U$7,LEFT(M1359,3)=$U$7)),"x","")</f>
        <v/>
      </c>
      <c r="V1359" s="55" t="str">
        <f>IF(OR(TH!L1359=TH!$V$7,M1359=TH!$V$7),"x","")</f>
        <v/>
      </c>
      <c r="W1359" s="55" t="str">
        <f>IF(AND(OR(L1359="131",M1359="131"),H1359='131-CT'!$E$7),"x","")</f>
        <v/>
      </c>
      <c r="X1359" s="55" t="str">
        <f>IF(AND(B1359&gt;='IN-NX'!$P$3,B1359&lt;='IN-NX'!$Q$3,'IN-NX'!$D$7=D1359,OR(LEFT(TH!L1359,2)="15",LEFT(TH!M1359,2)="15")),"x","")</f>
        <v/>
      </c>
      <c r="Y1359" s="55" t="str">
        <f>IF(AND(OR(LEFT(TH!L1359,2)="15",LEFT(TH!M1359,2)="15"),'152-CT'!$J$8=TH!F1359),"x","")</f>
        <v/>
      </c>
      <c r="Z1359" s="55" t="str">
        <f>IF(AND(OR(LEFT(TH!L1359,2)="15",LEFT(TH!M1359,2)="15"),TK!$E$7=TH!F1359),"x","")</f>
        <v/>
      </c>
      <c r="AA1359" s="55" t="str">
        <f>IF(AND(B1359&lt;=NKC!$N$8,B1359&gt;=NKC!$M$8),"x","")</f>
        <v/>
      </c>
    </row>
    <row r="1360" spans="1:29" ht="15.75" customHeight="1">
      <c r="A1360" s="219" t="str">
        <f>IF(B1360&lt;&gt;"",IF(AND(B1360&gt;=_TM1,B1360&lt;=_TM2,OR(TH!L1360="1111",TH!M1360="1111")),TH!D1360,""),"")</f>
        <v/>
      </c>
      <c r="B1360" s="36">
        <f t="shared" si="57"/>
        <v>12</v>
      </c>
      <c r="C1360" s="205">
        <f t="shared" si="58"/>
        <v>41244</v>
      </c>
      <c r="D1360" s="205"/>
      <c r="E1360" s="205">
        <v>41244</v>
      </c>
      <c r="F1360" s="206" t="s">
        <v>1185</v>
      </c>
      <c r="G1360" s="581" t="s">
        <v>1526</v>
      </c>
      <c r="H1360" s="207" t="s">
        <v>1146</v>
      </c>
      <c r="I1360" s="277"/>
      <c r="J1360" s="277"/>
      <c r="K1360" s="38">
        <v>917700</v>
      </c>
      <c r="L1360" s="208" t="s">
        <v>311</v>
      </c>
      <c r="M1360" s="208" t="s">
        <v>549</v>
      </c>
      <c r="N1360" s="55" t="str">
        <f>IF(AND('331-CT'!$E$7=TH!H1360,OR(L1360="331",M1360="331")),"x","")</f>
        <v/>
      </c>
      <c r="O1360" s="55" t="str">
        <f>IF(AND($B1360&gt;='111'!$N$11,$B1360&lt;='111'!$O$11,OR($L1360=$O$7,$M1360=$O$7)),"x","")</f>
        <v/>
      </c>
      <c r="P1360" s="55" t="str">
        <f>IF(AND($L1360=$O$7,$B1360&lt;'111'!$N$11),"x","")</f>
        <v/>
      </c>
      <c r="Q1360" s="55" t="str">
        <f>IF(AND($M1360=$O$7,$B1360&lt;'111'!$N$11),"x","")</f>
        <v/>
      </c>
      <c r="R1360" s="55" t="str">
        <f>IF(ISERROR(FIND('112'!$M$9,G1360,1)),"",IF((AND(FIND('112'!$M$9,G1360,1)&gt;=1,$B1360&gt;='112'!$N$8,$B1360&lt;='112'!$O$8,OR($L1360='112'!$I$6,$M1360='112'!$I$6))),"x",""))</f>
        <v/>
      </c>
      <c r="S1360" s="55" t="str">
        <f>IF(ISERROR(FIND('112'!$M$9,G1360,1)),"",IF((AND(LEFT(G1360,2)=LEFT('112'!$M$9,2),B1360&lt;'112'!$N$8,$L1360='112'!$I$6)),"x",""))</f>
        <v/>
      </c>
      <c r="T1360" s="55" t="str">
        <f>IF(ISERROR(FIND('112'!$M$9,G1360,1)),"",IF((AND(RIGHT(G1360,2)=RIGHT('112'!$M$9,2),B1360&lt;'112'!$N$8,$M1360='112'!$I$6)),"x",""))</f>
        <v/>
      </c>
      <c r="U1360" s="55" t="str">
        <f>IF(AND('3411-CT'!$F$9=H1360,OR(LEFT(L1360,3)=$U$7,LEFT(M1360,3)=$U$7)),"x","")</f>
        <v/>
      </c>
      <c r="V1360" s="55" t="str">
        <f>IF(OR(TH!L1360=TH!$V$7,M1360=TH!$V$7),"x","")</f>
        <v/>
      </c>
      <c r="W1360" s="55" t="str">
        <f>IF(AND(OR(L1360="131",M1360="131"),H1360='131-CT'!$E$7),"x","")</f>
        <v/>
      </c>
      <c r="X1360" s="55" t="str">
        <f>IF(AND(B1360&gt;='IN-NX'!$P$3,B1360&lt;='IN-NX'!$Q$3,'IN-NX'!$D$7=D1360,OR(LEFT(TH!L1360,2)="15",LEFT(TH!M1360,2)="15")),"x","")</f>
        <v/>
      </c>
      <c r="Y1360" s="55" t="str">
        <f>IF(AND(OR(LEFT(TH!L1360,2)="15",LEFT(TH!M1360,2)="15"),'152-CT'!$J$8=TH!F1360),"x","")</f>
        <v/>
      </c>
      <c r="Z1360" s="55" t="str">
        <f>IF(AND(OR(LEFT(TH!L1360,2)="15",LEFT(TH!M1360,2)="15"),TK!$E$7=TH!F1360),"x","")</f>
        <v/>
      </c>
      <c r="AA1360" s="55" t="str">
        <f>IF(AND(B1360&lt;=NKC!$N$8,B1360&gt;=NKC!$M$8),"x","")</f>
        <v/>
      </c>
      <c r="AC1360" s="226"/>
    </row>
    <row r="1361" spans="1:29" ht="15.75" customHeight="1">
      <c r="A1361" s="219">
        <f>IF(B1361&lt;&gt;"",IF(AND(B1361&gt;=_TM1,B1361&lt;=_TM2,OR(TH!L1361="1111",TH!M1361="1111")),TH!D1361,""),"")</f>
        <v>0</v>
      </c>
      <c r="B1361" s="36">
        <f t="shared" si="57"/>
        <v>12</v>
      </c>
      <c r="C1361" s="205">
        <f t="shared" si="58"/>
        <v>41253</v>
      </c>
      <c r="D1361" s="205"/>
      <c r="E1361" s="205">
        <v>41253</v>
      </c>
      <c r="F1361" s="206" t="s">
        <v>1527</v>
      </c>
      <c r="G1361" s="581" t="s">
        <v>1528</v>
      </c>
      <c r="H1361" s="207" t="s">
        <v>1551</v>
      </c>
      <c r="I1361" s="277">
        <v>500</v>
      </c>
      <c r="J1361" s="277">
        <v>9565</v>
      </c>
      <c r="K1361" s="38">
        <f t="shared" si="55"/>
        <v>4782500</v>
      </c>
      <c r="L1361" s="208" t="s">
        <v>49</v>
      </c>
      <c r="M1361" s="208" t="s">
        <v>208</v>
      </c>
      <c r="N1361" s="55" t="str">
        <f>IF(AND('331-CT'!$E$7=TH!H1361,OR(L1361="331",M1361="331")),"x","")</f>
        <v/>
      </c>
      <c r="O1361" s="55" t="str">
        <f>IF(AND($B1361&gt;='111'!$N$11,$B1361&lt;='111'!$O$11,OR($L1361=$O$7,$M1361=$O$7)),"x","")</f>
        <v>x</v>
      </c>
      <c r="P1361" s="55" t="str">
        <f>IF(AND($L1361=$O$7,$B1361&lt;'111'!$N$11),"x","")</f>
        <v/>
      </c>
      <c r="Q1361" s="55" t="str">
        <f>IF(AND($M1361=$O$7,$B1361&lt;'111'!$N$11),"x","")</f>
        <v/>
      </c>
      <c r="R1361" s="55" t="str">
        <f>IF(ISERROR(FIND('112'!$M$9,G1361,1)),"",IF((AND(FIND('112'!$M$9,G1361,1)&gt;=1,$B1361&gt;='112'!$N$8,$B1361&lt;='112'!$O$8,OR($L1361='112'!$I$6,$M1361='112'!$I$6))),"x",""))</f>
        <v/>
      </c>
      <c r="S1361" s="55" t="str">
        <f>IF(ISERROR(FIND('112'!$M$9,G1361,1)),"",IF((AND(LEFT(G1361,2)=LEFT('112'!$M$9,2),B1361&lt;'112'!$N$8,$L1361='112'!$I$6)),"x",""))</f>
        <v/>
      </c>
      <c r="T1361" s="55" t="str">
        <f>IF(ISERROR(FIND('112'!$M$9,G1361,1)),"",IF((AND(RIGHT(G1361,2)=RIGHT('112'!$M$9,2),B1361&lt;'112'!$N$8,$M1361='112'!$I$6)),"x",""))</f>
        <v/>
      </c>
      <c r="U1361" s="55" t="str">
        <f>IF(AND('3411-CT'!$F$9=H1361,OR(LEFT(L1361,3)=$U$7,LEFT(M1361,3)=$U$7)),"x","")</f>
        <v/>
      </c>
      <c r="V1361" s="55" t="str">
        <f>IF(OR(TH!L1361=TH!$V$7,M1361=TH!$V$7),"x","")</f>
        <v/>
      </c>
      <c r="W1361" s="55" t="str">
        <f>IF(AND(OR(L1361="131",M1361="131"),H1361='131-CT'!$E$7),"x","")</f>
        <v/>
      </c>
      <c r="X1361" s="55" t="str">
        <f>IF(AND(B1361&gt;='IN-NX'!$P$3,B1361&lt;='IN-NX'!$Q$3,'IN-NX'!$D$7=D1361,OR(LEFT(TH!L1361,2)="15",LEFT(TH!M1361,2)="15")),"x","")</f>
        <v/>
      </c>
      <c r="Y1361" s="55" t="str">
        <f>IF(AND(OR(LEFT(TH!L1361,2)="15",LEFT(TH!M1361,2)="15"),'152-CT'!$J$8=TH!F1361),"x","")</f>
        <v/>
      </c>
      <c r="Z1361" s="55" t="str">
        <f>IF(AND(OR(LEFT(TH!L1361,2)="15",LEFT(TH!M1361,2)="15"),TK!$E$7=TH!F1361),"x","")</f>
        <v/>
      </c>
      <c r="AA1361" s="55" t="str">
        <f>IF(AND(B1361&lt;=NKC!$N$8,B1361&gt;=NKC!$M$8),"x","")</f>
        <v/>
      </c>
    </row>
    <row r="1362" spans="1:29" ht="15.75" customHeight="1">
      <c r="A1362" s="219">
        <f>IF(B1362&lt;&gt;"",IF(AND(B1362&gt;=_TM1,B1362&lt;=_TM2,OR(TH!L1362="1111",TH!M1362="1111")),TH!D1362,""),"")</f>
        <v>0</v>
      </c>
      <c r="B1362" s="36">
        <f t="shared" si="57"/>
        <v>12</v>
      </c>
      <c r="C1362" s="205">
        <f t="shared" si="58"/>
        <v>41253</v>
      </c>
      <c r="D1362" s="205"/>
      <c r="E1362" s="205">
        <v>41253</v>
      </c>
      <c r="F1362" s="206" t="s">
        <v>1529</v>
      </c>
      <c r="G1362" s="581" t="s">
        <v>1528</v>
      </c>
      <c r="H1362" s="207" t="s">
        <v>1551</v>
      </c>
      <c r="I1362" s="277">
        <v>483</v>
      </c>
      <c r="J1362" s="277">
        <v>9147</v>
      </c>
      <c r="K1362" s="38">
        <f t="shared" si="55"/>
        <v>4418001</v>
      </c>
      <c r="L1362" s="208" t="s">
        <v>49</v>
      </c>
      <c r="M1362" s="208" t="s">
        <v>208</v>
      </c>
      <c r="N1362" s="55" t="str">
        <f>IF(AND('331-CT'!$E$7=TH!H1362,OR(L1362="331",M1362="331")),"x","")</f>
        <v/>
      </c>
      <c r="O1362" s="55" t="str">
        <f>IF(AND($B1362&gt;='111'!$N$11,$B1362&lt;='111'!$O$11,OR($L1362=$O$7,$M1362=$O$7)),"x","")</f>
        <v>x</v>
      </c>
      <c r="P1362" s="55" t="str">
        <f>IF(AND($L1362=$O$7,$B1362&lt;'111'!$N$11),"x","")</f>
        <v/>
      </c>
      <c r="Q1362" s="55" t="str">
        <f>IF(AND($M1362=$O$7,$B1362&lt;'111'!$N$11),"x","")</f>
        <v/>
      </c>
      <c r="R1362" s="55" t="str">
        <f>IF(ISERROR(FIND('112'!$M$9,G1362,1)),"",IF((AND(FIND('112'!$M$9,G1362,1)&gt;=1,$B1362&gt;='112'!$N$8,$B1362&lt;='112'!$O$8,OR($L1362='112'!$I$6,$M1362='112'!$I$6))),"x",""))</f>
        <v/>
      </c>
      <c r="S1362" s="55" t="str">
        <f>IF(ISERROR(FIND('112'!$M$9,G1362,1)),"",IF((AND(LEFT(G1362,2)=LEFT('112'!$M$9,2),B1362&lt;'112'!$N$8,$L1362='112'!$I$6)),"x",""))</f>
        <v/>
      </c>
      <c r="T1362" s="55" t="str">
        <f>IF(ISERROR(FIND('112'!$M$9,G1362,1)),"",IF((AND(RIGHT(G1362,2)=RIGHT('112'!$M$9,2),B1362&lt;'112'!$N$8,$M1362='112'!$I$6)),"x",""))</f>
        <v/>
      </c>
      <c r="U1362" s="55" t="str">
        <f>IF(AND('3411-CT'!$F$9=H1362,OR(LEFT(L1362,3)=$U$7,LEFT(M1362,3)=$U$7)),"x","")</f>
        <v/>
      </c>
      <c r="V1362" s="55" t="str">
        <f>IF(OR(TH!L1362=TH!$V$7,M1362=TH!$V$7),"x","")</f>
        <v/>
      </c>
      <c r="W1362" s="55" t="str">
        <f>IF(AND(OR(L1362="131",M1362="131"),H1362='131-CT'!$E$7),"x","")</f>
        <v/>
      </c>
      <c r="X1362" s="55" t="str">
        <f>IF(AND(B1362&gt;='IN-NX'!$P$3,B1362&lt;='IN-NX'!$Q$3,'IN-NX'!$D$7=D1362,OR(LEFT(TH!L1362,2)="15",LEFT(TH!M1362,2)="15")),"x","")</f>
        <v/>
      </c>
      <c r="Y1362" s="55" t="str">
        <f>IF(AND(OR(LEFT(TH!L1362,2)="15",LEFT(TH!M1362,2)="15"),'152-CT'!$J$8=TH!F1362),"x","")</f>
        <v/>
      </c>
      <c r="Z1362" s="55" t="str">
        <f>IF(AND(OR(LEFT(TH!L1362,2)="15",LEFT(TH!M1362,2)="15"),TK!$E$7=TH!F1362),"x","")</f>
        <v/>
      </c>
      <c r="AA1362" s="55" t="str">
        <f>IF(AND(B1362&lt;=NKC!$N$8,B1362&gt;=NKC!$M$8),"x","")</f>
        <v/>
      </c>
    </row>
    <row r="1363" spans="1:29" ht="15.75" customHeight="1">
      <c r="A1363" s="219">
        <f>IF(B1363&lt;&gt;"",IF(AND(B1363&gt;=_TM1,B1363&lt;=_TM2,OR(TH!L1363="1111",TH!M1363="1111")),TH!D1363,""),"")</f>
        <v>0</v>
      </c>
      <c r="B1363" s="36">
        <f t="shared" si="57"/>
        <v>12</v>
      </c>
      <c r="C1363" s="205">
        <f t="shared" si="58"/>
        <v>41253</v>
      </c>
      <c r="D1363" s="205"/>
      <c r="E1363" s="205">
        <v>41253</v>
      </c>
      <c r="F1363" s="206" t="s">
        <v>1530</v>
      </c>
      <c r="G1363" s="581" t="s">
        <v>1528</v>
      </c>
      <c r="H1363" s="207" t="s">
        <v>1551</v>
      </c>
      <c r="I1363" s="277">
        <v>504</v>
      </c>
      <c r="J1363" s="277">
        <v>8264</v>
      </c>
      <c r="K1363" s="38">
        <f t="shared" si="55"/>
        <v>4165056</v>
      </c>
      <c r="L1363" s="208" t="s">
        <v>49</v>
      </c>
      <c r="M1363" s="208" t="s">
        <v>208</v>
      </c>
      <c r="N1363" s="55" t="str">
        <f>IF(AND('331-CT'!$E$7=TH!H1363,OR(L1363="331",M1363="331")),"x","")</f>
        <v/>
      </c>
      <c r="O1363" s="55" t="str">
        <f>IF(AND($B1363&gt;='111'!$N$11,$B1363&lt;='111'!$O$11,OR($L1363=$O$7,$M1363=$O$7)),"x","")</f>
        <v>x</v>
      </c>
      <c r="P1363" s="55" t="str">
        <f>IF(AND($L1363=$O$7,$B1363&lt;'111'!$N$11),"x","")</f>
        <v/>
      </c>
      <c r="Q1363" s="55" t="str">
        <f>IF(AND($M1363=$O$7,$B1363&lt;'111'!$N$11),"x","")</f>
        <v/>
      </c>
      <c r="R1363" s="55" t="str">
        <f>IF(ISERROR(FIND('112'!$M$9,G1363,1)),"",IF((AND(FIND('112'!$M$9,G1363,1)&gt;=1,$B1363&gt;='112'!$N$8,$B1363&lt;='112'!$O$8,OR($L1363='112'!$I$6,$M1363='112'!$I$6))),"x",""))</f>
        <v/>
      </c>
      <c r="S1363" s="55" t="str">
        <f>IF(ISERROR(FIND('112'!$M$9,G1363,1)),"",IF((AND(LEFT(G1363,2)=LEFT('112'!$M$9,2),B1363&lt;'112'!$N$8,$L1363='112'!$I$6)),"x",""))</f>
        <v/>
      </c>
      <c r="T1363" s="55" t="str">
        <f>IF(ISERROR(FIND('112'!$M$9,G1363,1)),"",IF((AND(RIGHT(G1363,2)=RIGHT('112'!$M$9,2),B1363&lt;'112'!$N$8,$M1363='112'!$I$6)),"x",""))</f>
        <v/>
      </c>
      <c r="U1363" s="55" t="str">
        <f>IF(AND('3411-CT'!$F$9=H1363,OR(LEFT(L1363,3)=$U$7,LEFT(M1363,3)=$U$7)),"x","")</f>
        <v/>
      </c>
      <c r="V1363" s="55" t="str">
        <f>IF(OR(TH!L1363=TH!$V$7,M1363=TH!$V$7),"x","")</f>
        <v/>
      </c>
      <c r="W1363" s="55" t="str">
        <f>IF(AND(OR(L1363="131",M1363="131"),H1363='131-CT'!$E$7),"x","")</f>
        <v/>
      </c>
      <c r="X1363" s="55" t="str">
        <f>IF(AND(B1363&gt;='IN-NX'!$P$3,B1363&lt;='IN-NX'!$Q$3,'IN-NX'!$D$7=D1363,OR(LEFT(TH!L1363,2)="15",LEFT(TH!M1363,2)="15")),"x","")</f>
        <v/>
      </c>
      <c r="Y1363" s="55" t="str">
        <f>IF(AND(OR(LEFT(TH!L1363,2)="15",LEFT(TH!M1363,2)="15"),'152-CT'!$J$8=TH!F1363),"x","")</f>
        <v/>
      </c>
      <c r="Z1363" s="55" t="str">
        <f>IF(AND(OR(LEFT(TH!L1363,2)="15",LEFT(TH!M1363,2)="15"),TK!$E$7=TH!F1363),"x","")</f>
        <v/>
      </c>
      <c r="AA1363" s="55" t="str">
        <f>IF(AND(B1363&lt;=NKC!$N$8,B1363&gt;=NKC!$M$8),"x","")</f>
        <v/>
      </c>
    </row>
    <row r="1364" spans="1:29" ht="15.75" customHeight="1">
      <c r="A1364" s="219">
        <f>IF(B1364&lt;&gt;"",IF(AND(B1364&gt;=_TM1,B1364&lt;=_TM2,OR(TH!L1364="1111",TH!M1364="1111")),TH!D1364,""),"")</f>
        <v>0</v>
      </c>
      <c r="B1364" s="36">
        <f t="shared" si="57"/>
        <v>12</v>
      </c>
      <c r="C1364" s="205">
        <f t="shared" si="58"/>
        <v>41253</v>
      </c>
      <c r="D1364" s="205"/>
      <c r="E1364" s="205">
        <v>41253</v>
      </c>
      <c r="F1364" s="206" t="s">
        <v>1185</v>
      </c>
      <c r="G1364" s="581" t="s">
        <v>1528</v>
      </c>
      <c r="H1364" s="207" t="s">
        <v>1551</v>
      </c>
      <c r="I1364" s="277"/>
      <c r="J1364" s="277"/>
      <c r="K1364" s="38">
        <v>1336556</v>
      </c>
      <c r="L1364" s="208" t="s">
        <v>49</v>
      </c>
      <c r="M1364" s="208" t="s">
        <v>549</v>
      </c>
      <c r="N1364" s="55" t="str">
        <f>IF(AND('331-CT'!$E$7=TH!H1364,OR(L1364="331",M1364="331")),"x","")</f>
        <v/>
      </c>
      <c r="O1364" s="55" t="str">
        <f>IF(AND($B1364&gt;='111'!$N$11,$B1364&lt;='111'!$O$11,OR($L1364=$O$7,$M1364=$O$7)),"x","")</f>
        <v>x</v>
      </c>
      <c r="P1364" s="55" t="str">
        <f>IF(AND($L1364=$O$7,$B1364&lt;'111'!$N$11),"x","")</f>
        <v/>
      </c>
      <c r="Q1364" s="55" t="str">
        <f>IF(AND($M1364=$O$7,$B1364&lt;'111'!$N$11),"x","")</f>
        <v/>
      </c>
      <c r="R1364" s="55" t="str">
        <f>IF(ISERROR(FIND('112'!$M$9,G1364,1)),"",IF((AND(FIND('112'!$M$9,G1364,1)&gt;=1,$B1364&gt;='112'!$N$8,$B1364&lt;='112'!$O$8,OR($L1364='112'!$I$6,$M1364='112'!$I$6))),"x",""))</f>
        <v/>
      </c>
      <c r="S1364" s="55" t="str">
        <f>IF(ISERROR(FIND('112'!$M$9,G1364,1)),"",IF((AND(LEFT(G1364,2)=LEFT('112'!$M$9,2),B1364&lt;'112'!$N$8,$L1364='112'!$I$6)),"x",""))</f>
        <v/>
      </c>
      <c r="T1364" s="55" t="str">
        <f>IF(ISERROR(FIND('112'!$M$9,G1364,1)),"",IF((AND(RIGHT(G1364,2)=RIGHT('112'!$M$9,2),B1364&lt;'112'!$N$8,$M1364='112'!$I$6)),"x",""))</f>
        <v/>
      </c>
      <c r="U1364" s="55" t="str">
        <f>IF(AND('3411-CT'!$F$9=H1364,OR(LEFT(L1364,3)=$U$7,LEFT(M1364,3)=$U$7)),"x","")</f>
        <v/>
      </c>
      <c r="V1364" s="55" t="str">
        <f>IF(OR(TH!L1364=TH!$V$7,M1364=TH!$V$7),"x","")</f>
        <v/>
      </c>
      <c r="W1364" s="55" t="str">
        <f>IF(AND(OR(L1364="131",M1364="131"),H1364='131-CT'!$E$7),"x","")</f>
        <v/>
      </c>
      <c r="X1364" s="55" t="str">
        <f>IF(AND(B1364&gt;='IN-NX'!$P$3,B1364&lt;='IN-NX'!$Q$3,'IN-NX'!$D$7=D1364,OR(LEFT(TH!L1364,2)="15",LEFT(TH!M1364,2)="15")),"x","")</f>
        <v/>
      </c>
      <c r="Y1364" s="55" t="str">
        <f>IF(AND(OR(LEFT(TH!L1364,2)="15",LEFT(TH!M1364,2)="15"),'152-CT'!$J$8=TH!F1364),"x","")</f>
        <v/>
      </c>
      <c r="Z1364" s="55" t="str">
        <f>IF(AND(OR(LEFT(TH!L1364,2)="15",LEFT(TH!M1364,2)="15"),TK!$E$7=TH!F1364),"x","")</f>
        <v/>
      </c>
      <c r="AA1364" s="55" t="str">
        <f>IF(AND(B1364&lt;=NKC!$N$8,B1364&gt;=NKC!$M$8),"x","")</f>
        <v/>
      </c>
      <c r="AC1364" s="226"/>
    </row>
    <row r="1365" spans="1:29" ht="15.75" customHeight="1">
      <c r="A1365" s="219">
        <f>IF(B1365&lt;&gt;"",IF(AND(B1365&gt;=_TM1,B1365&lt;=_TM2,OR(TH!L1365="1111",TH!M1365="1111")),TH!D1365,""),"")</f>
        <v>0</v>
      </c>
      <c r="B1365" s="36">
        <f t="shared" si="57"/>
        <v>12</v>
      </c>
      <c r="C1365" s="205">
        <f t="shared" si="58"/>
        <v>41262</v>
      </c>
      <c r="D1365" s="205"/>
      <c r="E1365" s="205">
        <v>41262</v>
      </c>
      <c r="F1365" s="206" t="s">
        <v>1492</v>
      </c>
      <c r="G1365" s="581" t="s">
        <v>1531</v>
      </c>
      <c r="H1365" s="207" t="s">
        <v>1256</v>
      </c>
      <c r="I1365" s="277">
        <v>530</v>
      </c>
      <c r="J1365" s="277">
        <v>8000</v>
      </c>
      <c r="K1365" s="38">
        <f t="shared" si="55"/>
        <v>4240000</v>
      </c>
      <c r="L1365" s="208" t="s">
        <v>49</v>
      </c>
      <c r="M1365" s="208" t="s">
        <v>208</v>
      </c>
      <c r="N1365" s="55" t="str">
        <f>IF(AND('331-CT'!$E$7=TH!H1365,OR(L1365="331",M1365="331")),"x","")</f>
        <v/>
      </c>
      <c r="O1365" s="55" t="str">
        <f>IF(AND($B1365&gt;='111'!$N$11,$B1365&lt;='111'!$O$11,OR($L1365=$O$7,$M1365=$O$7)),"x","")</f>
        <v>x</v>
      </c>
      <c r="P1365" s="55" t="str">
        <f>IF(AND($L1365=$O$7,$B1365&lt;'111'!$N$11),"x","")</f>
        <v/>
      </c>
      <c r="Q1365" s="55" t="str">
        <f>IF(AND($M1365=$O$7,$B1365&lt;'111'!$N$11),"x","")</f>
        <v/>
      </c>
      <c r="R1365" s="55" t="str">
        <f>IF(ISERROR(FIND('112'!$M$9,G1365,1)),"",IF((AND(FIND('112'!$M$9,G1365,1)&gt;=1,$B1365&gt;='112'!$N$8,$B1365&lt;='112'!$O$8,OR($L1365='112'!$I$6,$M1365='112'!$I$6))),"x",""))</f>
        <v/>
      </c>
      <c r="S1365" s="55" t="str">
        <f>IF(ISERROR(FIND('112'!$M$9,G1365,1)),"",IF((AND(LEFT(G1365,2)=LEFT('112'!$M$9,2),B1365&lt;'112'!$N$8,$L1365='112'!$I$6)),"x",""))</f>
        <v/>
      </c>
      <c r="T1365" s="55" t="str">
        <f>IF(ISERROR(FIND('112'!$M$9,G1365,1)),"",IF((AND(RIGHT(G1365,2)=RIGHT('112'!$M$9,2),B1365&lt;'112'!$N$8,$M1365='112'!$I$6)),"x",""))</f>
        <v/>
      </c>
      <c r="U1365" s="55" t="str">
        <f>IF(AND('3411-CT'!$F$9=H1365,OR(LEFT(L1365,3)=$U$7,LEFT(M1365,3)=$U$7)),"x","")</f>
        <v/>
      </c>
      <c r="V1365" s="55" t="str">
        <f>IF(OR(TH!L1365=TH!$V$7,M1365=TH!$V$7),"x","")</f>
        <v/>
      </c>
      <c r="W1365" s="55" t="str">
        <f>IF(AND(OR(L1365="131",M1365="131"),H1365='131-CT'!$E$7),"x","")</f>
        <v/>
      </c>
      <c r="X1365" s="55" t="str">
        <f>IF(AND(B1365&gt;='IN-NX'!$P$3,B1365&lt;='IN-NX'!$Q$3,'IN-NX'!$D$7=D1365,OR(LEFT(TH!L1365,2)="15",LEFT(TH!M1365,2)="15")),"x","")</f>
        <v/>
      </c>
      <c r="Y1365" s="55" t="str">
        <f>IF(AND(OR(LEFT(TH!L1365,2)="15",LEFT(TH!M1365,2)="15"),'152-CT'!$J$8=TH!F1365),"x","")</f>
        <v/>
      </c>
      <c r="Z1365" s="55" t="str">
        <f>IF(AND(OR(LEFT(TH!L1365,2)="15",LEFT(TH!M1365,2)="15"),TK!$E$7=TH!F1365),"x","")</f>
        <v/>
      </c>
      <c r="AA1365" s="55" t="str">
        <f>IF(AND(B1365&lt;=NKC!$N$8,B1365&gt;=NKC!$M$8),"x","")</f>
        <v/>
      </c>
    </row>
    <row r="1366" spans="1:29" ht="15.75" customHeight="1">
      <c r="A1366" s="219">
        <f>IF(B1366&lt;&gt;"",IF(AND(B1366&gt;=_TM1,B1366&lt;=_TM2,OR(TH!L1366="1111",TH!M1366="1111")),TH!D1366,""),"")</f>
        <v>0</v>
      </c>
      <c r="B1366" s="36">
        <f t="shared" si="57"/>
        <v>12</v>
      </c>
      <c r="C1366" s="205">
        <f t="shared" si="58"/>
        <v>41262</v>
      </c>
      <c r="D1366" s="205"/>
      <c r="E1366" s="205">
        <v>41262</v>
      </c>
      <c r="F1366" s="206" t="s">
        <v>1185</v>
      </c>
      <c r="G1366" s="581" t="s">
        <v>1531</v>
      </c>
      <c r="H1366" s="207" t="s">
        <v>1256</v>
      </c>
      <c r="I1366" s="277"/>
      <c r="J1366" s="277"/>
      <c r="K1366" s="38">
        <v>424000</v>
      </c>
      <c r="L1366" s="208" t="s">
        <v>49</v>
      </c>
      <c r="M1366" s="208" t="s">
        <v>549</v>
      </c>
      <c r="N1366" s="55" t="str">
        <f>IF(AND('331-CT'!$E$7=TH!H1366,OR(L1366="331",M1366="331")),"x","")</f>
        <v/>
      </c>
      <c r="O1366" s="55" t="str">
        <f>IF(AND($B1366&gt;='111'!$N$11,$B1366&lt;='111'!$O$11,OR($L1366=$O$7,$M1366=$O$7)),"x","")</f>
        <v>x</v>
      </c>
      <c r="P1366" s="55" t="str">
        <f>IF(AND($L1366=$O$7,$B1366&lt;'111'!$N$11),"x","")</f>
        <v/>
      </c>
      <c r="Q1366" s="55" t="str">
        <f>IF(AND($M1366=$O$7,$B1366&lt;'111'!$N$11),"x","")</f>
        <v/>
      </c>
      <c r="R1366" s="55" t="str">
        <f>IF(ISERROR(FIND('112'!$M$9,G1366,1)),"",IF((AND(FIND('112'!$M$9,G1366,1)&gt;=1,$B1366&gt;='112'!$N$8,$B1366&lt;='112'!$O$8,OR($L1366='112'!$I$6,$M1366='112'!$I$6))),"x",""))</f>
        <v/>
      </c>
      <c r="S1366" s="55" t="str">
        <f>IF(ISERROR(FIND('112'!$M$9,G1366,1)),"",IF((AND(LEFT(G1366,2)=LEFT('112'!$M$9,2),B1366&lt;'112'!$N$8,$L1366='112'!$I$6)),"x",""))</f>
        <v/>
      </c>
      <c r="T1366" s="55" t="str">
        <f>IF(ISERROR(FIND('112'!$M$9,G1366,1)),"",IF((AND(RIGHT(G1366,2)=RIGHT('112'!$M$9,2),B1366&lt;'112'!$N$8,$M1366='112'!$I$6)),"x",""))</f>
        <v/>
      </c>
      <c r="U1366" s="55" t="str">
        <f>IF(AND('3411-CT'!$F$9=H1366,OR(LEFT(L1366,3)=$U$7,LEFT(M1366,3)=$U$7)),"x","")</f>
        <v/>
      </c>
      <c r="V1366" s="55" t="str">
        <f>IF(OR(TH!L1366=TH!$V$7,M1366=TH!$V$7),"x","")</f>
        <v/>
      </c>
      <c r="W1366" s="55" t="str">
        <f>IF(AND(OR(L1366="131",M1366="131"),H1366='131-CT'!$E$7),"x","")</f>
        <v/>
      </c>
      <c r="X1366" s="55" t="str">
        <f>IF(AND(B1366&gt;='IN-NX'!$P$3,B1366&lt;='IN-NX'!$Q$3,'IN-NX'!$D$7=D1366,OR(LEFT(TH!L1366,2)="15",LEFT(TH!M1366,2)="15")),"x","")</f>
        <v/>
      </c>
      <c r="Y1366" s="55" t="str">
        <f>IF(AND(OR(LEFT(TH!L1366,2)="15",LEFT(TH!M1366,2)="15"),'152-CT'!$J$8=TH!F1366),"x","")</f>
        <v/>
      </c>
      <c r="Z1366" s="55" t="str">
        <f>IF(AND(OR(LEFT(TH!L1366,2)="15",LEFT(TH!M1366,2)="15"),TK!$E$7=TH!F1366),"x","")</f>
        <v/>
      </c>
      <c r="AA1366" s="55" t="str">
        <f>IF(AND(B1366&lt;=NKC!$N$8,B1366&gt;=NKC!$M$8),"x","")</f>
        <v/>
      </c>
      <c r="AC1366" s="226"/>
    </row>
    <row r="1367" spans="1:29" s="226" customFormat="1" ht="15.75" customHeight="1">
      <c r="A1367" s="219">
        <f>IF(B1367&lt;&gt;"",IF(AND(B1367&gt;=_TM1,B1367&lt;=_TM2,OR(TH!L1367="1111",TH!M1367="1111")),TH!D1367,""),"")</f>
        <v>0</v>
      </c>
      <c r="B1367" s="36">
        <f t="shared" si="57"/>
        <v>12</v>
      </c>
      <c r="C1367" s="205">
        <f t="shared" si="58"/>
        <v>41262</v>
      </c>
      <c r="D1367" s="205"/>
      <c r="E1367" s="205">
        <v>41262</v>
      </c>
      <c r="F1367" s="206" t="s">
        <v>1532</v>
      </c>
      <c r="G1367" s="581" t="s">
        <v>1533</v>
      </c>
      <c r="H1367" s="207" t="s">
        <v>1207</v>
      </c>
      <c r="I1367" s="277">
        <v>664</v>
      </c>
      <c r="J1367" s="277">
        <v>6990</v>
      </c>
      <c r="K1367" s="38">
        <f t="shared" si="55"/>
        <v>4641360</v>
      </c>
      <c r="L1367" s="208" t="s">
        <v>49</v>
      </c>
      <c r="M1367" s="208" t="s">
        <v>208</v>
      </c>
      <c r="N1367" s="55" t="str">
        <f>IF(AND('331-CT'!$E$7=TH!H1367,OR(L1367="331",M1367="331")),"x","")</f>
        <v/>
      </c>
      <c r="O1367" s="55" t="str">
        <f>IF(AND($B1367&gt;='111'!$N$11,$B1367&lt;='111'!$O$11,OR($L1367=$O$7,$M1367=$O$7)),"x","")</f>
        <v>x</v>
      </c>
      <c r="P1367" s="55" t="str">
        <f>IF(AND($L1367=$O$7,$B1367&lt;'111'!$N$11),"x","")</f>
        <v/>
      </c>
      <c r="Q1367" s="55" t="str">
        <f>IF(AND($M1367=$O$7,$B1367&lt;'111'!$N$11),"x","")</f>
        <v/>
      </c>
      <c r="R1367" s="55" t="str">
        <f>IF(ISERROR(FIND('112'!$M$9,G1367,1)),"",IF((AND(FIND('112'!$M$9,G1367,1)&gt;=1,$B1367&gt;='112'!$N$8,$B1367&lt;='112'!$O$8,OR($L1367='112'!$I$6,$M1367='112'!$I$6))),"x",""))</f>
        <v/>
      </c>
      <c r="S1367" s="55" t="str">
        <f>IF(ISERROR(FIND('112'!$M$9,G1367,1)),"",IF((AND(LEFT(G1367,2)=LEFT('112'!$M$9,2),B1367&lt;'112'!$N$8,$L1367='112'!$I$6)),"x",""))</f>
        <v/>
      </c>
      <c r="T1367" s="55" t="str">
        <f>IF(ISERROR(FIND('112'!$M$9,G1367,1)),"",IF((AND(RIGHT(G1367,2)=RIGHT('112'!$M$9,2),B1367&lt;'112'!$N$8,$M1367='112'!$I$6)),"x",""))</f>
        <v/>
      </c>
      <c r="U1367" s="55" t="str">
        <f>IF(AND('3411-CT'!$F$9=H1367,OR(LEFT(L1367,3)=$U$7,LEFT(M1367,3)=$U$7)),"x","")</f>
        <v/>
      </c>
      <c r="V1367" s="55" t="str">
        <f>IF(OR(TH!L1367=TH!$V$7,M1367=TH!$V$7),"x","")</f>
        <v/>
      </c>
      <c r="W1367" s="55" t="str">
        <f>IF(AND(OR(L1367="131",M1367="131"),H1367='131-CT'!$E$7),"x","")</f>
        <v/>
      </c>
      <c r="X1367" s="55" t="str">
        <f>IF(AND(B1367&gt;='IN-NX'!$P$3,B1367&lt;='IN-NX'!$Q$3,'IN-NX'!$D$7=D1367,OR(LEFT(TH!L1367,2)="15",LEFT(TH!M1367,2)="15")),"x","")</f>
        <v/>
      </c>
      <c r="Y1367" s="55" t="str">
        <f>IF(AND(OR(LEFT(TH!L1367,2)="15",LEFT(TH!M1367,2)="15"),'152-CT'!$J$8=TH!F1367),"x","")</f>
        <v/>
      </c>
      <c r="Z1367" s="55" t="str">
        <f>IF(AND(OR(LEFT(TH!L1367,2)="15",LEFT(TH!M1367,2)="15"),TK!$E$7=TH!F1367),"x","")</f>
        <v/>
      </c>
      <c r="AA1367" s="55" t="str">
        <f>IF(AND(B1367&lt;=NKC!$N$8,B1367&gt;=NKC!$M$8),"x","")</f>
        <v/>
      </c>
    </row>
    <row r="1368" spans="1:29" s="226" customFormat="1" ht="15.75" customHeight="1">
      <c r="A1368" s="219">
        <f>IF(B1368&lt;&gt;"",IF(AND(B1368&gt;=_TM1,B1368&lt;=_TM2,OR(TH!L1368="1111",TH!M1368="1111")),TH!D1368,""),"")</f>
        <v>0</v>
      </c>
      <c r="B1368" s="36">
        <f t="shared" si="57"/>
        <v>12</v>
      </c>
      <c r="C1368" s="205">
        <f t="shared" si="58"/>
        <v>41262</v>
      </c>
      <c r="D1368" s="205"/>
      <c r="E1368" s="205">
        <v>41262</v>
      </c>
      <c r="F1368" s="206" t="s">
        <v>1534</v>
      </c>
      <c r="G1368" s="581" t="s">
        <v>1533</v>
      </c>
      <c r="H1368" s="207" t="s">
        <v>1207</v>
      </c>
      <c r="I1368" s="277">
        <v>56</v>
      </c>
      <c r="J1368" s="277">
        <v>7380</v>
      </c>
      <c r="K1368" s="38">
        <f t="shared" si="55"/>
        <v>413280</v>
      </c>
      <c r="L1368" s="208" t="s">
        <v>49</v>
      </c>
      <c r="M1368" s="208" t="s">
        <v>208</v>
      </c>
      <c r="N1368" s="55" t="str">
        <f>IF(AND('331-CT'!$E$7=TH!H1368,OR(L1368="331",M1368="331")),"x","")</f>
        <v/>
      </c>
      <c r="O1368" s="55" t="str">
        <f>IF(AND($B1368&gt;='111'!$N$11,$B1368&lt;='111'!$O$11,OR($L1368=$O$7,$M1368=$O$7)),"x","")</f>
        <v>x</v>
      </c>
      <c r="P1368" s="55" t="str">
        <f>IF(AND($L1368=$O$7,$B1368&lt;'111'!$N$11),"x","")</f>
        <v/>
      </c>
      <c r="Q1368" s="55" t="str">
        <f>IF(AND($M1368=$O$7,$B1368&lt;'111'!$N$11),"x","")</f>
        <v/>
      </c>
      <c r="R1368" s="55" t="str">
        <f>IF(ISERROR(FIND('112'!$M$9,G1368,1)),"",IF((AND(FIND('112'!$M$9,G1368,1)&gt;=1,$B1368&gt;='112'!$N$8,$B1368&lt;='112'!$O$8,OR($L1368='112'!$I$6,$M1368='112'!$I$6))),"x",""))</f>
        <v/>
      </c>
      <c r="S1368" s="55" t="str">
        <f>IF(ISERROR(FIND('112'!$M$9,G1368,1)),"",IF((AND(LEFT(G1368,2)=LEFT('112'!$M$9,2),B1368&lt;'112'!$N$8,$L1368='112'!$I$6)),"x",""))</f>
        <v/>
      </c>
      <c r="T1368" s="55" t="str">
        <f>IF(ISERROR(FIND('112'!$M$9,G1368,1)),"",IF((AND(RIGHT(G1368,2)=RIGHT('112'!$M$9,2),B1368&lt;'112'!$N$8,$M1368='112'!$I$6)),"x",""))</f>
        <v/>
      </c>
      <c r="U1368" s="55" t="str">
        <f>IF(AND('3411-CT'!$F$9=H1368,OR(LEFT(L1368,3)=$U$7,LEFT(M1368,3)=$U$7)),"x","")</f>
        <v/>
      </c>
      <c r="V1368" s="55" t="str">
        <f>IF(OR(TH!L1368=TH!$V$7,M1368=TH!$V$7),"x","")</f>
        <v/>
      </c>
      <c r="W1368" s="55" t="str">
        <f>IF(AND(OR(L1368="131",M1368="131"),H1368='131-CT'!$E$7),"x","")</f>
        <v/>
      </c>
      <c r="X1368" s="55" t="str">
        <f>IF(AND(B1368&gt;='IN-NX'!$P$3,B1368&lt;='IN-NX'!$Q$3,'IN-NX'!$D$7=D1368,OR(LEFT(TH!L1368,2)="15",LEFT(TH!M1368,2)="15")),"x","")</f>
        <v/>
      </c>
      <c r="Y1368" s="55" t="str">
        <f>IF(AND(OR(LEFT(TH!L1368,2)="15",LEFT(TH!M1368,2)="15"),'152-CT'!$J$8=TH!F1368),"x","")</f>
        <v/>
      </c>
      <c r="Z1368" s="55" t="str">
        <f>IF(AND(OR(LEFT(TH!L1368,2)="15",LEFT(TH!M1368,2)="15"),TK!$E$7=TH!F1368),"x","")</f>
        <v/>
      </c>
      <c r="AA1368" s="55" t="str">
        <f>IF(AND(B1368&lt;=NKC!$N$8,B1368&gt;=NKC!$M$8),"x","")</f>
        <v/>
      </c>
    </row>
    <row r="1369" spans="1:29" s="226" customFormat="1" ht="15.75" customHeight="1">
      <c r="A1369" s="219">
        <f>IF(B1369&lt;&gt;"",IF(AND(B1369&gt;=_TM1,B1369&lt;=_TM2,OR(TH!L1369="1111",TH!M1369="1111")),TH!D1369,""),"")</f>
        <v>0</v>
      </c>
      <c r="B1369" s="36">
        <f t="shared" si="57"/>
        <v>12</v>
      </c>
      <c r="C1369" s="205">
        <f t="shared" si="58"/>
        <v>41262</v>
      </c>
      <c r="D1369" s="205"/>
      <c r="E1369" s="205">
        <v>41262</v>
      </c>
      <c r="F1369" s="206" t="s">
        <v>1535</v>
      </c>
      <c r="G1369" s="581" t="s">
        <v>1533</v>
      </c>
      <c r="H1369" s="207" t="s">
        <v>1207</v>
      </c>
      <c r="I1369" s="277">
        <v>93</v>
      </c>
      <c r="J1369" s="277">
        <v>8050</v>
      </c>
      <c r="K1369" s="38">
        <f t="shared" si="55"/>
        <v>748650</v>
      </c>
      <c r="L1369" s="208" t="s">
        <v>49</v>
      </c>
      <c r="M1369" s="208" t="s">
        <v>208</v>
      </c>
      <c r="N1369" s="55" t="str">
        <f>IF(AND('331-CT'!$E$7=TH!H1369,OR(L1369="331",M1369="331")),"x","")</f>
        <v/>
      </c>
      <c r="O1369" s="55" t="str">
        <f>IF(AND($B1369&gt;='111'!$N$11,$B1369&lt;='111'!$O$11,OR($L1369=$O$7,$M1369=$O$7)),"x","")</f>
        <v>x</v>
      </c>
      <c r="P1369" s="55" t="str">
        <f>IF(AND($L1369=$O$7,$B1369&lt;'111'!$N$11),"x","")</f>
        <v/>
      </c>
      <c r="Q1369" s="55" t="str">
        <f>IF(AND($M1369=$O$7,$B1369&lt;'111'!$N$11),"x","")</f>
        <v/>
      </c>
      <c r="R1369" s="55" t="str">
        <f>IF(ISERROR(FIND('112'!$M$9,G1369,1)),"",IF((AND(FIND('112'!$M$9,G1369,1)&gt;=1,$B1369&gt;='112'!$N$8,$B1369&lt;='112'!$O$8,OR($L1369='112'!$I$6,$M1369='112'!$I$6))),"x",""))</f>
        <v/>
      </c>
      <c r="S1369" s="55" t="str">
        <f>IF(ISERROR(FIND('112'!$M$9,G1369,1)),"",IF((AND(LEFT(G1369,2)=LEFT('112'!$M$9,2),B1369&lt;'112'!$N$8,$L1369='112'!$I$6)),"x",""))</f>
        <v/>
      </c>
      <c r="T1369" s="55" t="str">
        <f>IF(ISERROR(FIND('112'!$M$9,G1369,1)),"",IF((AND(RIGHT(G1369,2)=RIGHT('112'!$M$9,2),B1369&lt;'112'!$N$8,$M1369='112'!$I$6)),"x",""))</f>
        <v/>
      </c>
      <c r="U1369" s="55" t="str">
        <f>IF(AND('3411-CT'!$F$9=H1369,OR(LEFT(L1369,3)=$U$7,LEFT(M1369,3)=$U$7)),"x","")</f>
        <v/>
      </c>
      <c r="V1369" s="55" t="str">
        <f>IF(OR(TH!L1369=TH!$V$7,M1369=TH!$V$7),"x","")</f>
        <v/>
      </c>
      <c r="W1369" s="55" t="str">
        <f>IF(AND(OR(L1369="131",M1369="131"),H1369='131-CT'!$E$7),"x","")</f>
        <v/>
      </c>
      <c r="X1369" s="55" t="str">
        <f>IF(AND(B1369&gt;='IN-NX'!$P$3,B1369&lt;='IN-NX'!$Q$3,'IN-NX'!$D$7=D1369,OR(LEFT(TH!L1369,2)="15",LEFT(TH!M1369,2)="15")),"x","")</f>
        <v/>
      </c>
      <c r="Y1369" s="55" t="str">
        <f>IF(AND(OR(LEFT(TH!L1369,2)="15",LEFT(TH!M1369,2)="15"),'152-CT'!$J$8=TH!F1369),"x","")</f>
        <v/>
      </c>
      <c r="Z1369" s="55" t="str">
        <f>IF(AND(OR(LEFT(TH!L1369,2)="15",LEFT(TH!M1369,2)="15"),TK!$E$7=TH!F1369),"x","")</f>
        <v/>
      </c>
      <c r="AA1369" s="55" t="str">
        <f>IF(AND(B1369&lt;=NKC!$N$8,B1369&gt;=NKC!$M$8),"x","")</f>
        <v/>
      </c>
    </row>
    <row r="1370" spans="1:29" s="226" customFormat="1" ht="15.75" customHeight="1">
      <c r="A1370" s="219">
        <f>IF(B1370&lt;&gt;"",IF(AND(B1370&gt;=_TM1,B1370&lt;=_TM2,OR(TH!L1370="1111",TH!M1370="1111")),TH!D1370,""),"")</f>
        <v>0</v>
      </c>
      <c r="B1370" s="36">
        <f t="shared" si="57"/>
        <v>12</v>
      </c>
      <c r="C1370" s="205">
        <f t="shared" si="58"/>
        <v>41262</v>
      </c>
      <c r="D1370" s="205"/>
      <c r="E1370" s="205">
        <v>41262</v>
      </c>
      <c r="F1370" s="206" t="s">
        <v>1536</v>
      </c>
      <c r="G1370" s="581" t="s">
        <v>1533</v>
      </c>
      <c r="H1370" s="207" t="s">
        <v>1207</v>
      </c>
      <c r="I1370" s="277">
        <v>126</v>
      </c>
      <c r="J1370" s="277">
        <v>9512</v>
      </c>
      <c r="K1370" s="38">
        <f t="shared" si="55"/>
        <v>1198512</v>
      </c>
      <c r="L1370" s="208" t="s">
        <v>49</v>
      </c>
      <c r="M1370" s="208" t="s">
        <v>208</v>
      </c>
      <c r="N1370" s="55" t="str">
        <f>IF(AND('331-CT'!$E$7=TH!H1370,OR(L1370="331",M1370="331")),"x","")</f>
        <v/>
      </c>
      <c r="O1370" s="55" t="str">
        <f>IF(AND($B1370&gt;='111'!$N$11,$B1370&lt;='111'!$O$11,OR($L1370=$O$7,$M1370=$O$7)),"x","")</f>
        <v>x</v>
      </c>
      <c r="P1370" s="55" t="str">
        <f>IF(AND($L1370=$O$7,$B1370&lt;'111'!$N$11),"x","")</f>
        <v/>
      </c>
      <c r="Q1370" s="55" t="str">
        <f>IF(AND($M1370=$O$7,$B1370&lt;'111'!$N$11),"x","")</f>
        <v/>
      </c>
      <c r="R1370" s="55" t="str">
        <f>IF(ISERROR(FIND('112'!$M$9,G1370,1)),"",IF((AND(FIND('112'!$M$9,G1370,1)&gt;=1,$B1370&gt;='112'!$N$8,$B1370&lt;='112'!$O$8,OR($L1370='112'!$I$6,$M1370='112'!$I$6))),"x",""))</f>
        <v/>
      </c>
      <c r="S1370" s="55" t="str">
        <f>IF(ISERROR(FIND('112'!$M$9,G1370,1)),"",IF((AND(LEFT(G1370,2)=LEFT('112'!$M$9,2),B1370&lt;'112'!$N$8,$L1370='112'!$I$6)),"x",""))</f>
        <v/>
      </c>
      <c r="T1370" s="55" t="str">
        <f>IF(ISERROR(FIND('112'!$M$9,G1370,1)),"",IF((AND(RIGHT(G1370,2)=RIGHT('112'!$M$9,2),B1370&lt;'112'!$N$8,$M1370='112'!$I$6)),"x",""))</f>
        <v/>
      </c>
      <c r="U1370" s="55" t="str">
        <f>IF(AND('3411-CT'!$F$9=H1370,OR(LEFT(L1370,3)=$U$7,LEFT(M1370,3)=$U$7)),"x","")</f>
        <v/>
      </c>
      <c r="V1370" s="55" t="str">
        <f>IF(OR(TH!L1370=TH!$V$7,M1370=TH!$V$7),"x","")</f>
        <v/>
      </c>
      <c r="W1370" s="55" t="str">
        <f>IF(AND(OR(L1370="131",M1370="131"),H1370='131-CT'!$E$7),"x","")</f>
        <v/>
      </c>
      <c r="X1370" s="55" t="str">
        <f>IF(AND(B1370&gt;='IN-NX'!$P$3,B1370&lt;='IN-NX'!$Q$3,'IN-NX'!$D$7=D1370,OR(LEFT(TH!L1370,2)="15",LEFT(TH!M1370,2)="15")),"x","")</f>
        <v/>
      </c>
      <c r="Y1370" s="55" t="str">
        <f>IF(AND(OR(LEFT(TH!L1370,2)="15",LEFT(TH!M1370,2)="15"),'152-CT'!$J$8=TH!F1370),"x","")</f>
        <v/>
      </c>
      <c r="Z1370" s="55" t="str">
        <f>IF(AND(OR(LEFT(TH!L1370,2)="15",LEFT(TH!M1370,2)="15"),TK!$E$7=TH!F1370),"x","")</f>
        <v/>
      </c>
      <c r="AA1370" s="55" t="str">
        <f>IF(AND(B1370&lt;=NKC!$N$8,B1370&gt;=NKC!$M$8),"x","")</f>
        <v/>
      </c>
    </row>
    <row r="1371" spans="1:29" s="226" customFormat="1" ht="15.75" customHeight="1">
      <c r="A1371" s="219">
        <f>IF(B1371&lt;&gt;"",IF(AND(B1371&gt;=_TM1,B1371&lt;=_TM2,OR(TH!L1371="1111",TH!M1371="1111")),TH!D1371,""),"")</f>
        <v>0</v>
      </c>
      <c r="B1371" s="36">
        <f t="shared" si="57"/>
        <v>12</v>
      </c>
      <c r="C1371" s="205">
        <f t="shared" si="58"/>
        <v>41262</v>
      </c>
      <c r="D1371" s="205"/>
      <c r="E1371" s="205">
        <v>41262</v>
      </c>
      <c r="F1371" s="206" t="s">
        <v>1185</v>
      </c>
      <c r="G1371" s="581" t="s">
        <v>1533</v>
      </c>
      <c r="H1371" s="207" t="s">
        <v>1207</v>
      </c>
      <c r="I1371" s="277"/>
      <c r="J1371" s="277"/>
      <c r="K1371" s="38">
        <v>700180</v>
      </c>
      <c r="L1371" s="208" t="s">
        <v>49</v>
      </c>
      <c r="M1371" s="208" t="s">
        <v>549</v>
      </c>
      <c r="N1371" s="55" t="str">
        <f>IF(AND('331-CT'!$E$7=TH!H1371,OR(L1371="331",M1371="331")),"x","")</f>
        <v/>
      </c>
      <c r="O1371" s="55" t="str">
        <f>IF(AND($B1371&gt;='111'!$N$11,$B1371&lt;='111'!$O$11,OR($L1371=$O$7,$M1371=$O$7)),"x","")</f>
        <v>x</v>
      </c>
      <c r="P1371" s="55" t="str">
        <f>IF(AND($L1371=$O$7,$B1371&lt;'111'!$N$11),"x","")</f>
        <v/>
      </c>
      <c r="Q1371" s="55" t="str">
        <f>IF(AND($M1371=$O$7,$B1371&lt;'111'!$N$11),"x","")</f>
        <v/>
      </c>
      <c r="R1371" s="55" t="str">
        <f>IF(ISERROR(FIND('112'!$M$9,G1371,1)),"",IF((AND(FIND('112'!$M$9,G1371,1)&gt;=1,$B1371&gt;='112'!$N$8,$B1371&lt;='112'!$O$8,OR($L1371='112'!$I$6,$M1371='112'!$I$6))),"x",""))</f>
        <v/>
      </c>
      <c r="S1371" s="55" t="str">
        <f>IF(ISERROR(FIND('112'!$M$9,G1371,1)),"",IF((AND(LEFT(G1371,2)=LEFT('112'!$M$9,2),B1371&lt;'112'!$N$8,$L1371='112'!$I$6)),"x",""))</f>
        <v/>
      </c>
      <c r="T1371" s="55" t="str">
        <f>IF(ISERROR(FIND('112'!$M$9,G1371,1)),"",IF((AND(RIGHT(G1371,2)=RIGHT('112'!$M$9,2),B1371&lt;'112'!$N$8,$M1371='112'!$I$6)),"x",""))</f>
        <v/>
      </c>
      <c r="U1371" s="55" t="str">
        <f>IF(AND('3411-CT'!$F$9=H1371,OR(LEFT(L1371,3)=$U$7,LEFT(M1371,3)=$U$7)),"x","")</f>
        <v/>
      </c>
      <c r="V1371" s="55" t="str">
        <f>IF(OR(TH!L1371=TH!$V$7,M1371=TH!$V$7),"x","")</f>
        <v/>
      </c>
      <c r="W1371" s="55" t="str">
        <f>IF(AND(OR(L1371="131",M1371="131"),H1371='131-CT'!$E$7),"x","")</f>
        <v/>
      </c>
      <c r="X1371" s="55" t="str">
        <f>IF(AND(B1371&gt;='IN-NX'!$P$3,B1371&lt;='IN-NX'!$Q$3,'IN-NX'!$D$7=D1371,OR(LEFT(TH!L1371,2)="15",LEFT(TH!M1371,2)="15")),"x","")</f>
        <v/>
      </c>
      <c r="Y1371" s="55" t="str">
        <f>IF(AND(OR(LEFT(TH!L1371,2)="15",LEFT(TH!M1371,2)="15"),'152-CT'!$J$8=TH!F1371),"x","")</f>
        <v/>
      </c>
      <c r="Z1371" s="55" t="str">
        <f>IF(AND(OR(LEFT(TH!L1371,2)="15",LEFT(TH!M1371,2)="15"),TK!$E$7=TH!F1371),"x","")</f>
        <v/>
      </c>
      <c r="AA1371" s="55" t="str">
        <f>IF(AND(B1371&lt;=NKC!$N$8,B1371&gt;=NKC!$M$8),"x","")</f>
        <v/>
      </c>
    </row>
    <row r="1372" spans="1:29" s="226" customFormat="1" ht="15.75" customHeight="1">
      <c r="A1372" s="219">
        <f>IF(B1372&lt;&gt;"",IF(AND(B1372&gt;=_TM1,B1372&lt;=_TM2,OR(TH!L1372="1111",TH!M1372="1111")),TH!D1372,""),"")</f>
        <v>0</v>
      </c>
      <c r="B1372" s="36">
        <f t="shared" si="57"/>
        <v>12</v>
      </c>
      <c r="C1372" s="205">
        <f t="shared" si="58"/>
        <v>41263</v>
      </c>
      <c r="D1372" s="205"/>
      <c r="E1372" s="205">
        <v>41263</v>
      </c>
      <c r="F1372" s="206" t="s">
        <v>1537</v>
      </c>
      <c r="G1372" s="581" t="s">
        <v>1538</v>
      </c>
      <c r="H1372" s="207" t="s">
        <v>1207</v>
      </c>
      <c r="I1372" s="277">
        <v>219</v>
      </c>
      <c r="J1372" s="277">
        <v>6330</v>
      </c>
      <c r="K1372" s="38">
        <f t="shared" si="55"/>
        <v>1386270</v>
      </c>
      <c r="L1372" s="208" t="s">
        <v>49</v>
      </c>
      <c r="M1372" s="208" t="s">
        <v>208</v>
      </c>
      <c r="N1372" s="55" t="str">
        <f>IF(AND('331-CT'!$E$7=TH!H1372,OR(L1372="331",M1372="331")),"x","")</f>
        <v/>
      </c>
      <c r="O1372" s="55" t="str">
        <f>IF(AND($B1372&gt;='111'!$N$11,$B1372&lt;='111'!$O$11,OR($L1372=$O$7,$M1372=$O$7)),"x","")</f>
        <v>x</v>
      </c>
      <c r="P1372" s="55" t="str">
        <f>IF(AND($L1372=$O$7,$B1372&lt;'111'!$N$11),"x","")</f>
        <v/>
      </c>
      <c r="Q1372" s="55" t="str">
        <f>IF(AND($M1372=$O$7,$B1372&lt;'111'!$N$11),"x","")</f>
        <v/>
      </c>
      <c r="R1372" s="55" t="str">
        <f>IF(ISERROR(FIND('112'!$M$9,G1372,1)),"",IF((AND(FIND('112'!$M$9,G1372,1)&gt;=1,$B1372&gt;='112'!$N$8,$B1372&lt;='112'!$O$8,OR($L1372='112'!$I$6,$M1372='112'!$I$6))),"x",""))</f>
        <v/>
      </c>
      <c r="S1372" s="55" t="str">
        <f>IF(ISERROR(FIND('112'!$M$9,G1372,1)),"",IF((AND(LEFT(G1372,2)=LEFT('112'!$M$9,2),B1372&lt;'112'!$N$8,$L1372='112'!$I$6)),"x",""))</f>
        <v/>
      </c>
      <c r="T1372" s="55" t="str">
        <f>IF(ISERROR(FIND('112'!$M$9,G1372,1)),"",IF((AND(RIGHT(G1372,2)=RIGHT('112'!$M$9,2),B1372&lt;'112'!$N$8,$M1372='112'!$I$6)),"x",""))</f>
        <v/>
      </c>
      <c r="U1372" s="55" t="str">
        <f>IF(AND('3411-CT'!$F$9=H1372,OR(LEFT(L1372,3)=$U$7,LEFT(M1372,3)=$U$7)),"x","")</f>
        <v/>
      </c>
      <c r="V1372" s="55" t="str">
        <f>IF(OR(TH!L1372=TH!$V$7,M1372=TH!$V$7),"x","")</f>
        <v/>
      </c>
      <c r="W1372" s="55" t="str">
        <f>IF(AND(OR(L1372="131",M1372="131"),H1372='131-CT'!$E$7),"x","")</f>
        <v/>
      </c>
      <c r="X1372" s="55" t="str">
        <f>IF(AND(B1372&gt;='IN-NX'!$P$3,B1372&lt;='IN-NX'!$Q$3,'IN-NX'!$D$7=D1372,OR(LEFT(TH!L1372,2)="15",LEFT(TH!M1372,2)="15")),"x","")</f>
        <v/>
      </c>
      <c r="Y1372" s="55" t="str">
        <f>IF(AND(OR(LEFT(TH!L1372,2)="15",LEFT(TH!M1372,2)="15"),'152-CT'!$J$8=TH!F1372),"x","")</f>
        <v/>
      </c>
      <c r="Z1372" s="55" t="str">
        <f>IF(AND(OR(LEFT(TH!L1372,2)="15",LEFT(TH!M1372,2)="15"),TK!$E$7=TH!F1372),"x","")</f>
        <v/>
      </c>
      <c r="AA1372" s="55" t="str">
        <f>IF(AND(B1372&lt;=NKC!$N$8,B1372&gt;=NKC!$M$8),"x","")</f>
        <v/>
      </c>
    </row>
    <row r="1373" spans="1:29" s="226" customFormat="1" ht="15.75" customHeight="1">
      <c r="A1373" s="219">
        <f>IF(B1373&lt;&gt;"",IF(AND(B1373&gt;=_TM1,B1373&lt;=_TM2,OR(TH!L1373="1111",TH!M1373="1111")),TH!D1373,""),"")</f>
        <v>0</v>
      </c>
      <c r="B1373" s="36">
        <f t="shared" si="57"/>
        <v>12</v>
      </c>
      <c r="C1373" s="205">
        <f t="shared" si="58"/>
        <v>41263</v>
      </c>
      <c r="D1373" s="205"/>
      <c r="E1373" s="205">
        <v>41263</v>
      </c>
      <c r="F1373" s="206" t="s">
        <v>1539</v>
      </c>
      <c r="G1373" s="581" t="s">
        <v>1538</v>
      </c>
      <c r="H1373" s="207" t="s">
        <v>1207</v>
      </c>
      <c r="I1373" s="277">
        <v>100</v>
      </c>
      <c r="J1373" s="277">
        <v>6700</v>
      </c>
      <c r="K1373" s="38">
        <f t="shared" si="55"/>
        <v>670000</v>
      </c>
      <c r="L1373" s="208" t="s">
        <v>49</v>
      </c>
      <c r="M1373" s="208" t="s">
        <v>208</v>
      </c>
      <c r="N1373" s="55" t="str">
        <f>IF(AND('331-CT'!$E$7=TH!H1373,OR(L1373="331",M1373="331")),"x","")</f>
        <v/>
      </c>
      <c r="O1373" s="55" t="str">
        <f>IF(AND($B1373&gt;='111'!$N$11,$B1373&lt;='111'!$O$11,OR($L1373=$O$7,$M1373=$O$7)),"x","")</f>
        <v>x</v>
      </c>
      <c r="P1373" s="55" t="str">
        <f>IF(AND($L1373=$O$7,$B1373&lt;'111'!$N$11),"x","")</f>
        <v/>
      </c>
      <c r="Q1373" s="55" t="str">
        <f>IF(AND($M1373=$O$7,$B1373&lt;'111'!$N$11),"x","")</f>
        <v/>
      </c>
      <c r="R1373" s="55" t="str">
        <f>IF(ISERROR(FIND('112'!$M$9,G1373,1)),"",IF((AND(FIND('112'!$M$9,G1373,1)&gt;=1,$B1373&gt;='112'!$N$8,$B1373&lt;='112'!$O$8,OR($L1373='112'!$I$6,$M1373='112'!$I$6))),"x",""))</f>
        <v/>
      </c>
      <c r="S1373" s="55" t="str">
        <f>IF(ISERROR(FIND('112'!$M$9,G1373,1)),"",IF((AND(LEFT(G1373,2)=LEFT('112'!$M$9,2),B1373&lt;'112'!$N$8,$L1373='112'!$I$6)),"x",""))</f>
        <v/>
      </c>
      <c r="T1373" s="55" t="str">
        <f>IF(ISERROR(FIND('112'!$M$9,G1373,1)),"",IF((AND(RIGHT(G1373,2)=RIGHT('112'!$M$9,2),B1373&lt;'112'!$N$8,$M1373='112'!$I$6)),"x",""))</f>
        <v/>
      </c>
      <c r="U1373" s="55" t="str">
        <f>IF(AND('3411-CT'!$F$9=H1373,OR(LEFT(L1373,3)=$U$7,LEFT(M1373,3)=$U$7)),"x","")</f>
        <v/>
      </c>
      <c r="V1373" s="55" t="str">
        <f>IF(OR(TH!L1373=TH!$V$7,M1373=TH!$V$7),"x","")</f>
        <v/>
      </c>
      <c r="W1373" s="55" t="str">
        <f>IF(AND(OR(L1373="131",M1373="131"),H1373='131-CT'!$E$7),"x","")</f>
        <v/>
      </c>
      <c r="X1373" s="55" t="str">
        <f>IF(AND(B1373&gt;='IN-NX'!$P$3,B1373&lt;='IN-NX'!$Q$3,'IN-NX'!$D$7=D1373,OR(LEFT(TH!L1373,2)="15",LEFT(TH!M1373,2)="15")),"x","")</f>
        <v/>
      </c>
      <c r="Y1373" s="55" t="str">
        <f>IF(AND(OR(LEFT(TH!L1373,2)="15",LEFT(TH!M1373,2)="15"),'152-CT'!$J$8=TH!F1373),"x","")</f>
        <v/>
      </c>
      <c r="Z1373" s="55" t="str">
        <f>IF(AND(OR(LEFT(TH!L1373,2)="15",LEFT(TH!M1373,2)="15"),TK!$E$7=TH!F1373),"x","")</f>
        <v/>
      </c>
      <c r="AA1373" s="55" t="str">
        <f>IF(AND(B1373&lt;=NKC!$N$8,B1373&gt;=NKC!$M$8),"x","")</f>
        <v/>
      </c>
    </row>
    <row r="1374" spans="1:29" s="226" customFormat="1" ht="15.75" customHeight="1">
      <c r="A1374" s="219">
        <f>IF(B1374&lt;&gt;"",IF(AND(B1374&gt;=_TM1,B1374&lt;=_TM2,OR(TH!L1374="1111",TH!M1374="1111")),TH!D1374,""),"")</f>
        <v>0</v>
      </c>
      <c r="B1374" s="36">
        <f t="shared" si="57"/>
        <v>12</v>
      </c>
      <c r="C1374" s="205">
        <f t="shared" si="58"/>
        <v>41263</v>
      </c>
      <c r="D1374" s="205"/>
      <c r="E1374" s="205">
        <v>41263</v>
      </c>
      <c r="F1374" s="206" t="s">
        <v>1540</v>
      </c>
      <c r="G1374" s="581" t="s">
        <v>1538</v>
      </c>
      <c r="H1374" s="207" t="s">
        <v>1207</v>
      </c>
      <c r="I1374" s="277">
        <v>104</v>
      </c>
      <c r="J1374" s="277">
        <v>6585</v>
      </c>
      <c r="K1374" s="38">
        <f t="shared" si="55"/>
        <v>684840</v>
      </c>
      <c r="L1374" s="208" t="s">
        <v>49</v>
      </c>
      <c r="M1374" s="208" t="s">
        <v>208</v>
      </c>
      <c r="N1374" s="55" t="str">
        <f>IF(AND('331-CT'!$E$7=TH!H1374,OR(L1374="331",M1374="331")),"x","")</f>
        <v/>
      </c>
      <c r="O1374" s="55" t="str">
        <f>IF(AND($B1374&gt;='111'!$N$11,$B1374&lt;='111'!$O$11,OR($L1374=$O$7,$M1374=$O$7)),"x","")</f>
        <v>x</v>
      </c>
      <c r="P1374" s="55" t="str">
        <f>IF(AND($L1374=$O$7,$B1374&lt;'111'!$N$11),"x","")</f>
        <v/>
      </c>
      <c r="Q1374" s="55" t="str">
        <f>IF(AND($M1374=$O$7,$B1374&lt;'111'!$N$11),"x","")</f>
        <v/>
      </c>
      <c r="R1374" s="55" t="str">
        <f>IF(ISERROR(FIND('112'!$M$9,G1374,1)),"",IF((AND(FIND('112'!$M$9,G1374,1)&gt;=1,$B1374&gt;='112'!$N$8,$B1374&lt;='112'!$O$8,OR($L1374='112'!$I$6,$M1374='112'!$I$6))),"x",""))</f>
        <v/>
      </c>
      <c r="S1374" s="55" t="str">
        <f>IF(ISERROR(FIND('112'!$M$9,G1374,1)),"",IF((AND(LEFT(G1374,2)=LEFT('112'!$M$9,2),B1374&lt;'112'!$N$8,$L1374='112'!$I$6)),"x",""))</f>
        <v/>
      </c>
      <c r="T1374" s="55" t="str">
        <f>IF(ISERROR(FIND('112'!$M$9,G1374,1)),"",IF((AND(RIGHT(G1374,2)=RIGHT('112'!$M$9,2),B1374&lt;'112'!$N$8,$M1374='112'!$I$6)),"x",""))</f>
        <v/>
      </c>
      <c r="U1374" s="55" t="str">
        <f>IF(AND('3411-CT'!$F$9=H1374,OR(LEFT(L1374,3)=$U$7,LEFT(M1374,3)=$U$7)),"x","")</f>
        <v/>
      </c>
      <c r="V1374" s="55" t="str">
        <f>IF(OR(TH!L1374=TH!$V$7,M1374=TH!$V$7),"x","")</f>
        <v/>
      </c>
      <c r="W1374" s="55" t="str">
        <f>IF(AND(OR(L1374="131",M1374="131"),H1374='131-CT'!$E$7),"x","")</f>
        <v/>
      </c>
      <c r="X1374" s="55" t="str">
        <f>IF(AND(B1374&gt;='IN-NX'!$P$3,B1374&lt;='IN-NX'!$Q$3,'IN-NX'!$D$7=D1374,OR(LEFT(TH!L1374,2)="15",LEFT(TH!M1374,2)="15")),"x","")</f>
        <v/>
      </c>
      <c r="Y1374" s="55" t="str">
        <f>IF(AND(OR(LEFT(TH!L1374,2)="15",LEFT(TH!M1374,2)="15"),'152-CT'!$J$8=TH!F1374),"x","")</f>
        <v/>
      </c>
      <c r="Z1374" s="55" t="str">
        <f>IF(AND(OR(LEFT(TH!L1374,2)="15",LEFT(TH!M1374,2)="15"),TK!$E$7=TH!F1374),"x","")</f>
        <v/>
      </c>
      <c r="AA1374" s="55" t="str">
        <f>IF(AND(B1374&lt;=NKC!$N$8,B1374&gt;=NKC!$M$8),"x","")</f>
        <v/>
      </c>
    </row>
    <row r="1375" spans="1:29" s="226" customFormat="1" ht="15.75" customHeight="1">
      <c r="A1375" s="219">
        <f>IF(B1375&lt;&gt;"",IF(AND(B1375&gt;=_TM1,B1375&lt;=_TM2,OR(TH!L1375="1111",TH!M1375="1111")),TH!D1375,""),"")</f>
        <v>0</v>
      </c>
      <c r="B1375" s="36">
        <f t="shared" si="57"/>
        <v>12</v>
      </c>
      <c r="C1375" s="205">
        <f t="shared" si="58"/>
        <v>41263</v>
      </c>
      <c r="D1375" s="205"/>
      <c r="E1375" s="205">
        <v>41263</v>
      </c>
      <c r="F1375" s="206" t="s">
        <v>1535</v>
      </c>
      <c r="G1375" s="581" t="s">
        <v>1538</v>
      </c>
      <c r="H1375" s="207" t="s">
        <v>1207</v>
      </c>
      <c r="I1375" s="277">
        <v>116</v>
      </c>
      <c r="J1375" s="277">
        <v>7250</v>
      </c>
      <c r="K1375" s="38">
        <f t="shared" si="55"/>
        <v>841000</v>
      </c>
      <c r="L1375" s="208" t="s">
        <v>49</v>
      </c>
      <c r="M1375" s="208" t="s">
        <v>208</v>
      </c>
      <c r="N1375" s="55" t="str">
        <f>IF(AND('331-CT'!$E$7=TH!H1375,OR(L1375="331",M1375="331")),"x","")</f>
        <v/>
      </c>
      <c r="O1375" s="55" t="str">
        <f>IF(AND($B1375&gt;='111'!$N$11,$B1375&lt;='111'!$O$11,OR($L1375=$O$7,$M1375=$O$7)),"x","")</f>
        <v>x</v>
      </c>
      <c r="P1375" s="55" t="str">
        <f>IF(AND($L1375=$O$7,$B1375&lt;'111'!$N$11),"x","")</f>
        <v/>
      </c>
      <c r="Q1375" s="55" t="str">
        <f>IF(AND($M1375=$O$7,$B1375&lt;'111'!$N$11),"x","")</f>
        <v/>
      </c>
      <c r="R1375" s="55" t="str">
        <f>IF(ISERROR(FIND('112'!$M$9,G1375,1)),"",IF((AND(FIND('112'!$M$9,G1375,1)&gt;=1,$B1375&gt;='112'!$N$8,$B1375&lt;='112'!$O$8,OR($L1375='112'!$I$6,$M1375='112'!$I$6))),"x",""))</f>
        <v/>
      </c>
      <c r="S1375" s="55" t="str">
        <f>IF(ISERROR(FIND('112'!$M$9,G1375,1)),"",IF((AND(LEFT(G1375,2)=LEFT('112'!$M$9,2),B1375&lt;'112'!$N$8,$L1375='112'!$I$6)),"x",""))</f>
        <v/>
      </c>
      <c r="T1375" s="55" t="str">
        <f>IF(ISERROR(FIND('112'!$M$9,G1375,1)),"",IF((AND(RIGHT(G1375,2)=RIGHT('112'!$M$9,2),B1375&lt;'112'!$N$8,$M1375='112'!$I$6)),"x",""))</f>
        <v/>
      </c>
      <c r="U1375" s="55" t="str">
        <f>IF(AND('3411-CT'!$F$9=H1375,OR(LEFT(L1375,3)=$U$7,LEFT(M1375,3)=$U$7)),"x","")</f>
        <v/>
      </c>
      <c r="V1375" s="55" t="str">
        <f>IF(OR(TH!L1375=TH!$V$7,M1375=TH!$V$7),"x","")</f>
        <v/>
      </c>
      <c r="W1375" s="55" t="str">
        <f>IF(AND(OR(L1375="131",M1375="131"),H1375='131-CT'!$E$7),"x","")</f>
        <v/>
      </c>
      <c r="X1375" s="55" t="str">
        <f>IF(AND(B1375&gt;='IN-NX'!$P$3,B1375&lt;='IN-NX'!$Q$3,'IN-NX'!$D$7=D1375,OR(LEFT(TH!L1375,2)="15",LEFT(TH!M1375,2)="15")),"x","")</f>
        <v/>
      </c>
      <c r="Y1375" s="55" t="str">
        <f>IF(AND(OR(LEFT(TH!L1375,2)="15",LEFT(TH!M1375,2)="15"),'152-CT'!$J$8=TH!F1375),"x","")</f>
        <v/>
      </c>
      <c r="Z1375" s="55" t="str">
        <f>IF(AND(OR(LEFT(TH!L1375,2)="15",LEFT(TH!M1375,2)="15"),TK!$E$7=TH!F1375),"x","")</f>
        <v/>
      </c>
      <c r="AA1375" s="55" t="str">
        <f>IF(AND(B1375&lt;=NKC!$N$8,B1375&gt;=NKC!$M$8),"x","")</f>
        <v/>
      </c>
    </row>
    <row r="1376" spans="1:29" ht="15.75" customHeight="1">
      <c r="A1376" s="219">
        <f>IF(B1376&lt;&gt;"",IF(AND(B1376&gt;=_TM1,B1376&lt;=_TM2,OR(TH!L1376="1111",TH!M1376="1111")),TH!D1376,""),"")</f>
        <v>0</v>
      </c>
      <c r="B1376" s="36">
        <f t="shared" si="57"/>
        <v>12</v>
      </c>
      <c r="C1376" s="205">
        <f t="shared" si="58"/>
        <v>41263</v>
      </c>
      <c r="D1376" s="205"/>
      <c r="E1376" s="205">
        <v>41263</v>
      </c>
      <c r="F1376" s="206" t="s">
        <v>1541</v>
      </c>
      <c r="G1376" s="581" t="s">
        <v>1538</v>
      </c>
      <c r="H1376" s="207" t="s">
        <v>1207</v>
      </c>
      <c r="I1376" s="277">
        <v>200</v>
      </c>
      <c r="J1376" s="277">
        <v>9300</v>
      </c>
      <c r="K1376" s="38">
        <f t="shared" si="55"/>
        <v>1860000</v>
      </c>
      <c r="L1376" s="208" t="s">
        <v>49</v>
      </c>
      <c r="M1376" s="208" t="s">
        <v>208</v>
      </c>
      <c r="N1376" s="55" t="str">
        <f>IF(AND('331-CT'!$E$7=TH!H1376,OR(L1376="331",M1376="331")),"x","")</f>
        <v/>
      </c>
      <c r="O1376" s="55" t="str">
        <f>IF(AND($B1376&gt;='111'!$N$11,$B1376&lt;='111'!$O$11,OR($L1376=$O$7,$M1376=$O$7)),"x","")</f>
        <v>x</v>
      </c>
      <c r="P1376" s="55" t="str">
        <f>IF(AND($L1376=$O$7,$B1376&lt;'111'!$N$11),"x","")</f>
        <v/>
      </c>
      <c r="Q1376" s="55" t="str">
        <f>IF(AND($M1376=$O$7,$B1376&lt;'111'!$N$11),"x","")</f>
        <v/>
      </c>
      <c r="R1376" s="55" t="str">
        <f>IF(ISERROR(FIND('112'!$M$9,G1376,1)),"",IF((AND(FIND('112'!$M$9,G1376,1)&gt;=1,$B1376&gt;='112'!$N$8,$B1376&lt;='112'!$O$8,OR($L1376='112'!$I$6,$M1376='112'!$I$6))),"x",""))</f>
        <v/>
      </c>
      <c r="S1376" s="55" t="str">
        <f>IF(ISERROR(FIND('112'!$M$9,G1376,1)),"",IF((AND(LEFT(G1376,2)=LEFT('112'!$M$9,2),B1376&lt;'112'!$N$8,$L1376='112'!$I$6)),"x",""))</f>
        <v/>
      </c>
      <c r="T1376" s="55" t="str">
        <f>IF(ISERROR(FIND('112'!$M$9,G1376,1)),"",IF((AND(RIGHT(G1376,2)=RIGHT('112'!$M$9,2),B1376&lt;'112'!$N$8,$M1376='112'!$I$6)),"x",""))</f>
        <v/>
      </c>
      <c r="U1376" s="55" t="str">
        <f>IF(AND('3411-CT'!$F$9=H1376,OR(LEFT(L1376,3)=$U$7,LEFT(M1376,3)=$U$7)),"x","")</f>
        <v/>
      </c>
      <c r="V1376" s="55" t="str">
        <f>IF(OR(TH!L1376=TH!$V$7,M1376=TH!$V$7),"x","")</f>
        <v/>
      </c>
      <c r="W1376" s="55" t="str">
        <f>IF(AND(OR(L1376="131",M1376="131"),H1376='131-CT'!$E$7),"x","")</f>
        <v/>
      </c>
      <c r="X1376" s="55" t="str">
        <f>IF(AND(B1376&gt;='IN-NX'!$P$3,B1376&lt;='IN-NX'!$Q$3,'IN-NX'!$D$7=D1376,OR(LEFT(TH!L1376,2)="15",LEFT(TH!M1376,2)="15")),"x","")</f>
        <v/>
      </c>
      <c r="Y1376" s="55" t="str">
        <f>IF(AND(OR(LEFT(TH!L1376,2)="15",LEFT(TH!M1376,2)="15"),'152-CT'!$J$8=TH!F1376),"x","")</f>
        <v/>
      </c>
      <c r="Z1376" s="55" t="str">
        <f>IF(AND(OR(LEFT(TH!L1376,2)="15",LEFT(TH!M1376,2)="15"),TK!$E$7=TH!F1376),"x","")</f>
        <v/>
      </c>
      <c r="AA1376" s="55" t="str">
        <f>IF(AND(B1376&lt;=NKC!$N$8,B1376&gt;=NKC!$M$8),"x","")</f>
        <v/>
      </c>
    </row>
    <row r="1377" spans="1:29" ht="15.75" customHeight="1">
      <c r="A1377" s="219">
        <f>IF(B1377&lt;&gt;"",IF(AND(B1377&gt;=_TM1,B1377&lt;=_TM2,OR(TH!L1377="1111",TH!M1377="1111")),TH!D1377,""),"")</f>
        <v>0</v>
      </c>
      <c r="B1377" s="36">
        <f t="shared" si="57"/>
        <v>12</v>
      </c>
      <c r="C1377" s="205">
        <f t="shared" si="58"/>
        <v>41263</v>
      </c>
      <c r="D1377" s="205"/>
      <c r="E1377" s="205">
        <v>41263</v>
      </c>
      <c r="F1377" s="206" t="s">
        <v>1185</v>
      </c>
      <c r="G1377" s="581" t="s">
        <v>1538</v>
      </c>
      <c r="H1377" s="207" t="s">
        <v>1207</v>
      </c>
      <c r="I1377" s="277"/>
      <c r="J1377" s="277"/>
      <c r="K1377" s="38">
        <v>544211</v>
      </c>
      <c r="L1377" s="208" t="s">
        <v>49</v>
      </c>
      <c r="M1377" s="208" t="s">
        <v>549</v>
      </c>
      <c r="N1377" s="55" t="str">
        <f>IF(AND('331-CT'!$E$7=TH!H1377,OR(L1377="331",M1377="331")),"x","")</f>
        <v/>
      </c>
      <c r="O1377" s="55" t="str">
        <f>IF(AND($B1377&gt;='111'!$N$11,$B1377&lt;='111'!$O$11,OR($L1377=$O$7,$M1377=$O$7)),"x","")</f>
        <v>x</v>
      </c>
      <c r="P1377" s="55" t="str">
        <f>IF(AND($L1377=$O$7,$B1377&lt;'111'!$N$11),"x","")</f>
        <v/>
      </c>
      <c r="Q1377" s="55" t="str">
        <f>IF(AND($M1377=$O$7,$B1377&lt;'111'!$N$11),"x","")</f>
        <v/>
      </c>
      <c r="R1377" s="55" t="str">
        <f>IF(ISERROR(FIND('112'!$M$9,G1377,1)),"",IF((AND(FIND('112'!$M$9,G1377,1)&gt;=1,$B1377&gt;='112'!$N$8,$B1377&lt;='112'!$O$8,OR($L1377='112'!$I$6,$M1377='112'!$I$6))),"x",""))</f>
        <v/>
      </c>
      <c r="S1377" s="55" t="str">
        <f>IF(ISERROR(FIND('112'!$M$9,G1377,1)),"",IF((AND(LEFT(G1377,2)=LEFT('112'!$M$9,2),B1377&lt;'112'!$N$8,$L1377='112'!$I$6)),"x",""))</f>
        <v/>
      </c>
      <c r="T1377" s="55" t="str">
        <f>IF(ISERROR(FIND('112'!$M$9,G1377,1)),"",IF((AND(RIGHT(G1377,2)=RIGHT('112'!$M$9,2),B1377&lt;'112'!$N$8,$M1377='112'!$I$6)),"x",""))</f>
        <v/>
      </c>
      <c r="U1377" s="55" t="str">
        <f>IF(AND('3411-CT'!$F$9=H1377,OR(LEFT(L1377,3)=$U$7,LEFT(M1377,3)=$U$7)),"x","")</f>
        <v/>
      </c>
      <c r="V1377" s="55" t="str">
        <f>IF(OR(TH!L1377=TH!$V$7,M1377=TH!$V$7),"x","")</f>
        <v/>
      </c>
      <c r="W1377" s="55" t="str">
        <f>IF(AND(OR(L1377="131",M1377="131"),H1377='131-CT'!$E$7),"x","")</f>
        <v/>
      </c>
      <c r="X1377" s="55" t="str">
        <f>IF(AND(B1377&gt;='IN-NX'!$P$3,B1377&lt;='IN-NX'!$Q$3,'IN-NX'!$D$7=D1377,OR(LEFT(TH!L1377,2)="15",LEFT(TH!M1377,2)="15")),"x","")</f>
        <v/>
      </c>
      <c r="Y1377" s="55" t="str">
        <f>IF(AND(OR(LEFT(TH!L1377,2)="15",LEFT(TH!M1377,2)="15"),'152-CT'!$J$8=TH!F1377),"x","")</f>
        <v/>
      </c>
      <c r="Z1377" s="55" t="str">
        <f>IF(AND(OR(LEFT(TH!L1377,2)="15",LEFT(TH!M1377,2)="15"),TK!$E$7=TH!F1377),"x","")</f>
        <v/>
      </c>
      <c r="AA1377" s="55" t="str">
        <f>IF(AND(B1377&lt;=NKC!$N$8,B1377&gt;=NKC!$M$8),"x","")</f>
        <v/>
      </c>
      <c r="AC1377" s="226"/>
    </row>
    <row r="1378" spans="1:29" ht="15.75" customHeight="1">
      <c r="A1378" s="219">
        <f>IF(B1378&lt;&gt;"",IF(AND(B1378&gt;=_TM1,B1378&lt;=_TM2,OR(TH!L1378="1111",TH!M1378="1111")),TH!D1378,""),"")</f>
        <v>0</v>
      </c>
      <c r="B1378" s="36">
        <f t="shared" si="57"/>
        <v>12</v>
      </c>
      <c r="C1378" s="205">
        <f t="shared" si="58"/>
        <v>41265</v>
      </c>
      <c r="D1378" s="205"/>
      <c r="E1378" s="205">
        <v>41265</v>
      </c>
      <c r="F1378" s="206" t="s">
        <v>1542</v>
      </c>
      <c r="G1378" s="581" t="s">
        <v>1543</v>
      </c>
      <c r="H1378" s="207" t="s">
        <v>1544</v>
      </c>
      <c r="I1378" s="277">
        <v>200</v>
      </c>
      <c r="J1378" s="277">
        <v>13500</v>
      </c>
      <c r="K1378" s="38">
        <f t="shared" si="55"/>
        <v>2700000</v>
      </c>
      <c r="L1378" s="208" t="s">
        <v>49</v>
      </c>
      <c r="M1378" s="208" t="s">
        <v>208</v>
      </c>
      <c r="N1378" s="55" t="str">
        <f>IF(AND('331-CT'!$E$7=TH!H1378,OR(L1378="331",M1378="331")),"x","")</f>
        <v/>
      </c>
      <c r="O1378" s="55" t="str">
        <f>IF(AND($B1378&gt;='111'!$N$11,$B1378&lt;='111'!$O$11,OR($L1378=$O$7,$M1378=$O$7)),"x","")</f>
        <v>x</v>
      </c>
      <c r="P1378" s="55" t="str">
        <f>IF(AND($L1378=$O$7,$B1378&lt;'111'!$N$11),"x","")</f>
        <v/>
      </c>
      <c r="Q1378" s="55" t="str">
        <f>IF(AND($M1378=$O$7,$B1378&lt;'111'!$N$11),"x","")</f>
        <v/>
      </c>
      <c r="R1378" s="55" t="str">
        <f>IF(ISERROR(FIND('112'!$M$9,G1378,1)),"",IF((AND(FIND('112'!$M$9,G1378,1)&gt;=1,$B1378&gt;='112'!$N$8,$B1378&lt;='112'!$O$8,OR($L1378='112'!$I$6,$M1378='112'!$I$6))),"x",""))</f>
        <v/>
      </c>
      <c r="S1378" s="55" t="str">
        <f>IF(ISERROR(FIND('112'!$M$9,G1378,1)),"",IF((AND(LEFT(G1378,2)=LEFT('112'!$M$9,2),B1378&lt;'112'!$N$8,$L1378='112'!$I$6)),"x",""))</f>
        <v/>
      </c>
      <c r="T1378" s="55" t="str">
        <f>IF(ISERROR(FIND('112'!$M$9,G1378,1)),"",IF((AND(RIGHT(G1378,2)=RIGHT('112'!$M$9,2),B1378&lt;'112'!$N$8,$M1378='112'!$I$6)),"x",""))</f>
        <v/>
      </c>
      <c r="U1378" s="55" t="str">
        <f>IF(AND('3411-CT'!$F$9=H1378,OR(LEFT(L1378,3)=$U$7,LEFT(M1378,3)=$U$7)),"x","")</f>
        <v/>
      </c>
      <c r="V1378" s="55" t="str">
        <f>IF(OR(TH!L1378=TH!$V$7,M1378=TH!$V$7),"x","")</f>
        <v/>
      </c>
      <c r="W1378" s="55" t="str">
        <f>IF(AND(OR(L1378="131",M1378="131"),H1378='131-CT'!$E$7),"x","")</f>
        <v/>
      </c>
      <c r="X1378" s="55" t="str">
        <f>IF(AND(B1378&gt;='IN-NX'!$P$3,B1378&lt;='IN-NX'!$Q$3,'IN-NX'!$D$7=D1378,OR(LEFT(TH!L1378,2)="15",LEFT(TH!M1378,2)="15")),"x","")</f>
        <v/>
      </c>
      <c r="Y1378" s="55" t="str">
        <f>IF(AND(OR(LEFT(TH!L1378,2)="15",LEFT(TH!M1378,2)="15"),'152-CT'!$J$8=TH!F1378),"x","")</f>
        <v/>
      </c>
      <c r="Z1378" s="55" t="str">
        <f>IF(AND(OR(LEFT(TH!L1378,2)="15",LEFT(TH!M1378,2)="15"),TK!$E$7=TH!F1378),"x","")</f>
        <v/>
      </c>
      <c r="AA1378" s="55" t="str">
        <f>IF(AND(B1378&lt;=NKC!$N$8,B1378&gt;=NKC!$M$8),"x","")</f>
        <v/>
      </c>
    </row>
    <row r="1379" spans="1:29" ht="15.75" customHeight="1">
      <c r="A1379" s="219">
        <f>IF(B1379&lt;&gt;"",IF(AND(B1379&gt;=_TM1,B1379&lt;=_TM2,OR(TH!L1379="1111",TH!M1379="1111")),TH!D1379,""),"")</f>
        <v>0</v>
      </c>
      <c r="B1379" s="36">
        <f t="shared" si="57"/>
        <v>12</v>
      </c>
      <c r="C1379" s="205">
        <f t="shared" si="58"/>
        <v>41265</v>
      </c>
      <c r="D1379" s="205"/>
      <c r="E1379" s="205">
        <v>41265</v>
      </c>
      <c r="F1379" s="206" t="s">
        <v>1185</v>
      </c>
      <c r="G1379" s="581" t="s">
        <v>1543</v>
      </c>
      <c r="H1379" s="207" t="s">
        <v>1544</v>
      </c>
      <c r="I1379" s="277"/>
      <c r="J1379" s="277"/>
      <c r="K1379" s="38">
        <v>270000</v>
      </c>
      <c r="L1379" s="208" t="s">
        <v>49</v>
      </c>
      <c r="M1379" s="208" t="s">
        <v>549</v>
      </c>
      <c r="N1379" s="55" t="str">
        <f>IF(AND('331-CT'!$E$7=TH!H1379,OR(L1379="331",M1379="331")),"x","")</f>
        <v/>
      </c>
      <c r="O1379" s="55" t="str">
        <f>IF(AND($B1379&gt;='111'!$N$11,$B1379&lt;='111'!$O$11,OR($L1379=$O$7,$M1379=$O$7)),"x","")</f>
        <v>x</v>
      </c>
      <c r="P1379" s="55" t="str">
        <f>IF(AND($L1379=$O$7,$B1379&lt;'111'!$N$11),"x","")</f>
        <v/>
      </c>
      <c r="Q1379" s="55" t="str">
        <f>IF(AND($M1379=$O$7,$B1379&lt;'111'!$N$11),"x","")</f>
        <v/>
      </c>
      <c r="R1379" s="55" t="str">
        <f>IF(ISERROR(FIND('112'!$M$9,G1379,1)),"",IF((AND(FIND('112'!$M$9,G1379,1)&gt;=1,$B1379&gt;='112'!$N$8,$B1379&lt;='112'!$O$8,OR($L1379='112'!$I$6,$M1379='112'!$I$6))),"x",""))</f>
        <v/>
      </c>
      <c r="S1379" s="55" t="str">
        <f>IF(ISERROR(FIND('112'!$M$9,G1379,1)),"",IF((AND(LEFT(G1379,2)=LEFT('112'!$M$9,2),B1379&lt;'112'!$N$8,$L1379='112'!$I$6)),"x",""))</f>
        <v/>
      </c>
      <c r="T1379" s="55" t="str">
        <f>IF(ISERROR(FIND('112'!$M$9,G1379,1)),"",IF((AND(RIGHT(G1379,2)=RIGHT('112'!$M$9,2),B1379&lt;'112'!$N$8,$M1379='112'!$I$6)),"x",""))</f>
        <v/>
      </c>
      <c r="U1379" s="55" t="str">
        <f>IF(AND('3411-CT'!$F$9=H1379,OR(LEFT(L1379,3)=$U$7,LEFT(M1379,3)=$U$7)),"x","")</f>
        <v/>
      </c>
      <c r="V1379" s="55" t="str">
        <f>IF(OR(TH!L1379=TH!$V$7,M1379=TH!$V$7),"x","")</f>
        <v/>
      </c>
      <c r="W1379" s="55" t="str">
        <f>IF(AND(OR(L1379="131",M1379="131"),H1379='131-CT'!$E$7),"x","")</f>
        <v/>
      </c>
      <c r="X1379" s="55" t="str">
        <f>IF(AND(B1379&gt;='IN-NX'!$P$3,B1379&lt;='IN-NX'!$Q$3,'IN-NX'!$D$7=D1379,OR(LEFT(TH!L1379,2)="15",LEFT(TH!M1379,2)="15")),"x","")</f>
        <v/>
      </c>
      <c r="Y1379" s="55" t="str">
        <f>IF(AND(OR(LEFT(TH!L1379,2)="15",LEFT(TH!M1379,2)="15"),'152-CT'!$J$8=TH!F1379),"x","")</f>
        <v/>
      </c>
      <c r="Z1379" s="55" t="str">
        <f>IF(AND(OR(LEFT(TH!L1379,2)="15",LEFT(TH!M1379,2)="15"),TK!$E$7=TH!F1379),"x","")</f>
        <v/>
      </c>
      <c r="AA1379" s="55" t="str">
        <f>IF(AND(B1379&lt;=NKC!$N$8,B1379&gt;=NKC!$M$8),"x","")</f>
        <v/>
      </c>
      <c r="AC1379" s="226"/>
    </row>
    <row r="1380" spans="1:29" ht="15.75" customHeight="1">
      <c r="A1380" s="219" t="str">
        <f>IF(B1380&lt;&gt;"",IF(AND(B1380&gt;=_TM1,B1380&lt;=_TM2,OR(TH!L1380="1111",TH!M1380="1111")),TH!D1380,""),"")</f>
        <v/>
      </c>
      <c r="B1380" s="36">
        <f t="shared" si="57"/>
        <v>12</v>
      </c>
      <c r="C1380" s="205">
        <f t="shared" si="58"/>
        <v>41265</v>
      </c>
      <c r="D1380" s="205"/>
      <c r="E1380" s="205">
        <v>41265</v>
      </c>
      <c r="F1380" s="206" t="s">
        <v>1315</v>
      </c>
      <c r="G1380" s="581" t="s">
        <v>1545</v>
      </c>
      <c r="H1380" s="7" t="s">
        <v>416</v>
      </c>
      <c r="I1380" s="277">
        <v>1618</v>
      </c>
      <c r="J1380" s="277">
        <v>5400</v>
      </c>
      <c r="K1380" s="38">
        <f t="shared" si="55"/>
        <v>8737200</v>
      </c>
      <c r="L1380" s="208" t="s">
        <v>311</v>
      </c>
      <c r="M1380" s="208" t="s">
        <v>208</v>
      </c>
      <c r="N1380" s="55" t="str">
        <f>IF(AND('331-CT'!$E$7=TH!H1380,OR(L1380="331",M1380="331")),"x","")</f>
        <v/>
      </c>
      <c r="O1380" s="55" t="str">
        <f>IF(AND($B1380&gt;='111'!$N$11,$B1380&lt;='111'!$O$11,OR($L1380=$O$7,$M1380=$O$7)),"x","")</f>
        <v/>
      </c>
      <c r="P1380" s="55" t="str">
        <f>IF(AND($L1380=$O$7,$B1380&lt;'111'!$N$11),"x","")</f>
        <v/>
      </c>
      <c r="Q1380" s="55" t="str">
        <f>IF(AND($M1380=$O$7,$B1380&lt;'111'!$N$11),"x","")</f>
        <v/>
      </c>
      <c r="R1380" s="55" t="str">
        <f>IF(ISERROR(FIND('112'!$M$9,G1380,1)),"",IF((AND(FIND('112'!$M$9,G1380,1)&gt;=1,$B1380&gt;='112'!$N$8,$B1380&lt;='112'!$O$8,OR($L1380='112'!$I$6,$M1380='112'!$I$6))),"x",""))</f>
        <v/>
      </c>
      <c r="S1380" s="55" t="str">
        <f>IF(ISERROR(FIND('112'!$M$9,G1380,1)),"",IF((AND(LEFT(G1380,2)=LEFT('112'!$M$9,2),B1380&lt;'112'!$N$8,$L1380='112'!$I$6)),"x",""))</f>
        <v/>
      </c>
      <c r="T1380" s="55" t="str">
        <f>IF(ISERROR(FIND('112'!$M$9,G1380,1)),"",IF((AND(RIGHT(G1380,2)=RIGHT('112'!$M$9,2),B1380&lt;'112'!$N$8,$M1380='112'!$I$6)),"x",""))</f>
        <v/>
      </c>
      <c r="U1380" s="55" t="str">
        <f>IF(AND('3411-CT'!$F$9=H1380,OR(LEFT(L1380,3)=$U$7,LEFT(M1380,3)=$U$7)),"x","")</f>
        <v/>
      </c>
      <c r="V1380" s="55" t="str">
        <f>IF(OR(TH!L1380=TH!$V$7,M1380=TH!$V$7),"x","")</f>
        <v/>
      </c>
      <c r="W1380" s="55" t="str">
        <f>IF(AND(OR(L1380="131",M1380="131"),H1380='131-CT'!$E$7),"x","")</f>
        <v/>
      </c>
      <c r="X1380" s="55" t="str">
        <f>IF(AND(B1380&gt;='IN-NX'!$P$3,B1380&lt;='IN-NX'!$Q$3,'IN-NX'!$D$7=D1380,OR(LEFT(TH!L1380,2)="15",LEFT(TH!M1380,2)="15")),"x","")</f>
        <v/>
      </c>
      <c r="Y1380" s="55" t="str">
        <f>IF(AND(OR(LEFT(TH!L1380,2)="15",LEFT(TH!M1380,2)="15"),'152-CT'!$J$8=TH!F1380),"x","")</f>
        <v/>
      </c>
      <c r="Z1380" s="55" t="str">
        <f>IF(AND(OR(LEFT(TH!L1380,2)="15",LEFT(TH!M1380,2)="15"),TK!$E$7=TH!F1380),"x","")</f>
        <v/>
      </c>
      <c r="AA1380" s="55" t="str">
        <f>IF(AND(B1380&lt;=NKC!$N$8,B1380&gt;=NKC!$M$8),"x","")</f>
        <v/>
      </c>
    </row>
    <row r="1381" spans="1:29" ht="15.75" customHeight="1">
      <c r="A1381" s="219" t="str">
        <f>IF(B1381&lt;&gt;"",IF(AND(B1381&gt;=_TM1,B1381&lt;=_TM2,OR(TH!L1381="1111",TH!M1381="1111")),TH!D1381,""),"")</f>
        <v/>
      </c>
      <c r="B1381" s="36">
        <f t="shared" si="57"/>
        <v>12</v>
      </c>
      <c r="C1381" s="205">
        <f t="shared" si="58"/>
        <v>41265</v>
      </c>
      <c r="D1381" s="205"/>
      <c r="E1381" s="205">
        <v>41265</v>
      </c>
      <c r="F1381" s="206" t="s">
        <v>1504</v>
      </c>
      <c r="G1381" s="581" t="s">
        <v>1545</v>
      </c>
      <c r="H1381" s="7" t="s">
        <v>416</v>
      </c>
      <c r="I1381" s="277">
        <v>302</v>
      </c>
      <c r="J1381" s="277">
        <v>10300</v>
      </c>
      <c r="K1381" s="38">
        <f t="shared" si="55"/>
        <v>3110600</v>
      </c>
      <c r="L1381" s="208" t="s">
        <v>311</v>
      </c>
      <c r="M1381" s="208" t="s">
        <v>208</v>
      </c>
      <c r="N1381" s="55" t="str">
        <f>IF(AND('331-CT'!$E$7=TH!H1381,OR(L1381="331",M1381="331")),"x","")</f>
        <v/>
      </c>
      <c r="O1381" s="55" t="str">
        <f>IF(AND($B1381&gt;='111'!$N$11,$B1381&lt;='111'!$O$11,OR($L1381=$O$7,$M1381=$O$7)),"x","")</f>
        <v/>
      </c>
      <c r="P1381" s="55" t="str">
        <f>IF(AND($L1381=$O$7,$B1381&lt;'111'!$N$11),"x","")</f>
        <v/>
      </c>
      <c r="Q1381" s="55" t="str">
        <f>IF(AND($M1381=$O$7,$B1381&lt;'111'!$N$11),"x","")</f>
        <v/>
      </c>
      <c r="R1381" s="55" t="str">
        <f>IF(ISERROR(FIND('112'!$M$9,G1381,1)),"",IF((AND(FIND('112'!$M$9,G1381,1)&gt;=1,$B1381&gt;='112'!$N$8,$B1381&lt;='112'!$O$8,OR($L1381='112'!$I$6,$M1381='112'!$I$6))),"x",""))</f>
        <v/>
      </c>
      <c r="S1381" s="55" t="str">
        <f>IF(ISERROR(FIND('112'!$M$9,G1381,1)),"",IF((AND(LEFT(G1381,2)=LEFT('112'!$M$9,2),B1381&lt;'112'!$N$8,$L1381='112'!$I$6)),"x",""))</f>
        <v/>
      </c>
      <c r="T1381" s="55" t="str">
        <f>IF(ISERROR(FIND('112'!$M$9,G1381,1)),"",IF((AND(RIGHT(G1381,2)=RIGHT('112'!$M$9,2),B1381&lt;'112'!$N$8,$M1381='112'!$I$6)),"x",""))</f>
        <v/>
      </c>
      <c r="U1381" s="55" t="str">
        <f>IF(AND('3411-CT'!$F$9=H1381,OR(LEFT(L1381,3)=$U$7,LEFT(M1381,3)=$U$7)),"x","")</f>
        <v/>
      </c>
      <c r="V1381" s="55" t="str">
        <f>IF(OR(TH!L1381=TH!$V$7,M1381=TH!$V$7),"x","")</f>
        <v/>
      </c>
      <c r="W1381" s="55" t="str">
        <f>IF(AND(OR(L1381="131",M1381="131"),H1381='131-CT'!$E$7),"x","")</f>
        <v/>
      </c>
      <c r="X1381" s="55" t="str">
        <f>IF(AND(B1381&gt;='IN-NX'!$P$3,B1381&lt;='IN-NX'!$Q$3,'IN-NX'!$D$7=D1381,OR(LEFT(TH!L1381,2)="15",LEFT(TH!M1381,2)="15")),"x","")</f>
        <v/>
      </c>
      <c r="Y1381" s="55" t="str">
        <f>IF(AND(OR(LEFT(TH!L1381,2)="15",LEFT(TH!M1381,2)="15"),'152-CT'!$J$8=TH!F1381),"x","")</f>
        <v/>
      </c>
      <c r="Z1381" s="55" t="str">
        <f>IF(AND(OR(LEFT(TH!L1381,2)="15",LEFT(TH!M1381,2)="15"),TK!$E$7=TH!F1381),"x","")</f>
        <v/>
      </c>
      <c r="AA1381" s="55" t="str">
        <f>IF(AND(B1381&lt;=NKC!$N$8,B1381&gt;=NKC!$M$8),"x","")</f>
        <v/>
      </c>
    </row>
    <row r="1382" spans="1:29" ht="15.75" customHeight="1">
      <c r="A1382" s="219" t="str">
        <f>IF(B1382&lt;&gt;"",IF(AND(B1382&gt;=_TM1,B1382&lt;=_TM2,OR(TH!L1382="1111",TH!M1382="1111")),TH!D1382,""),"")</f>
        <v/>
      </c>
      <c r="B1382" s="36">
        <f t="shared" si="57"/>
        <v>12</v>
      </c>
      <c r="C1382" s="205">
        <f t="shared" si="58"/>
        <v>41265</v>
      </c>
      <c r="D1382" s="205"/>
      <c r="E1382" s="205">
        <v>41265</v>
      </c>
      <c r="F1382" s="206" t="s">
        <v>1185</v>
      </c>
      <c r="G1382" s="581" t="s">
        <v>1545</v>
      </c>
      <c r="H1382" s="7" t="s">
        <v>416</v>
      </c>
      <c r="I1382" s="277"/>
      <c r="J1382" s="277"/>
      <c r="K1382" s="38">
        <v>1184780</v>
      </c>
      <c r="L1382" s="208" t="s">
        <v>311</v>
      </c>
      <c r="M1382" s="208" t="s">
        <v>549</v>
      </c>
      <c r="N1382" s="55" t="str">
        <f>IF(AND('331-CT'!$E$7=TH!H1382,OR(L1382="331",M1382="331")),"x","")</f>
        <v/>
      </c>
      <c r="O1382" s="55" t="str">
        <f>IF(AND($B1382&gt;='111'!$N$11,$B1382&lt;='111'!$O$11,OR($L1382=$O$7,$M1382=$O$7)),"x","")</f>
        <v/>
      </c>
      <c r="P1382" s="55" t="str">
        <f>IF(AND($L1382=$O$7,$B1382&lt;'111'!$N$11),"x","")</f>
        <v/>
      </c>
      <c r="Q1382" s="55" t="str">
        <f>IF(AND($M1382=$O$7,$B1382&lt;'111'!$N$11),"x","")</f>
        <v/>
      </c>
      <c r="R1382" s="55" t="str">
        <f>IF(ISERROR(FIND('112'!$M$9,G1382,1)),"",IF((AND(FIND('112'!$M$9,G1382,1)&gt;=1,$B1382&gt;='112'!$N$8,$B1382&lt;='112'!$O$8,OR($L1382='112'!$I$6,$M1382='112'!$I$6))),"x",""))</f>
        <v/>
      </c>
      <c r="S1382" s="55" t="str">
        <f>IF(ISERROR(FIND('112'!$M$9,G1382,1)),"",IF((AND(LEFT(G1382,2)=LEFT('112'!$M$9,2),B1382&lt;'112'!$N$8,$L1382='112'!$I$6)),"x",""))</f>
        <v/>
      </c>
      <c r="T1382" s="55" t="str">
        <f>IF(ISERROR(FIND('112'!$M$9,G1382,1)),"",IF((AND(RIGHT(G1382,2)=RIGHT('112'!$M$9,2),B1382&lt;'112'!$N$8,$M1382='112'!$I$6)),"x",""))</f>
        <v/>
      </c>
      <c r="U1382" s="55" t="str">
        <f>IF(AND('3411-CT'!$F$9=H1382,OR(LEFT(L1382,3)=$U$7,LEFT(M1382,3)=$U$7)),"x","")</f>
        <v/>
      </c>
      <c r="V1382" s="55" t="str">
        <f>IF(OR(TH!L1382=TH!$V$7,M1382=TH!$V$7),"x","")</f>
        <v/>
      </c>
      <c r="W1382" s="55" t="str">
        <f>IF(AND(OR(L1382="131",M1382="131"),H1382='131-CT'!$E$7),"x","")</f>
        <v/>
      </c>
      <c r="X1382" s="55" t="str">
        <f>IF(AND(B1382&gt;='IN-NX'!$P$3,B1382&lt;='IN-NX'!$Q$3,'IN-NX'!$D$7=D1382,OR(LEFT(TH!L1382,2)="15",LEFT(TH!M1382,2)="15")),"x","")</f>
        <v/>
      </c>
      <c r="Y1382" s="55" t="str">
        <f>IF(AND(OR(LEFT(TH!L1382,2)="15",LEFT(TH!M1382,2)="15"),'152-CT'!$J$8=TH!F1382),"x","")</f>
        <v/>
      </c>
      <c r="Z1382" s="55" t="str">
        <f>IF(AND(OR(LEFT(TH!L1382,2)="15",LEFT(TH!M1382,2)="15"),TK!$E$7=TH!F1382),"x","")</f>
        <v/>
      </c>
      <c r="AA1382" s="55" t="str">
        <f>IF(AND(B1382&lt;=NKC!$N$8,B1382&gt;=NKC!$M$8),"x","")</f>
        <v/>
      </c>
      <c r="AC1382" s="226"/>
    </row>
    <row r="1383" spans="1:29" ht="15.75" customHeight="1">
      <c r="A1383" s="219">
        <f>IF(B1383&lt;&gt;"",IF(AND(B1383&gt;=_TM1,B1383&lt;=_TM2,OR(TH!L1383="1111",TH!M1383="1111")),TH!D1383,""),"")</f>
        <v>0</v>
      </c>
      <c r="B1383" s="36">
        <f t="shared" si="57"/>
        <v>12</v>
      </c>
      <c r="C1383" s="205">
        <f t="shared" si="58"/>
        <v>41272</v>
      </c>
      <c r="D1383" s="205"/>
      <c r="E1383" s="205">
        <v>41272</v>
      </c>
      <c r="F1383" s="206" t="s">
        <v>1546</v>
      </c>
      <c r="G1383" s="581" t="s">
        <v>1547</v>
      </c>
      <c r="H1383" s="207" t="s">
        <v>1548</v>
      </c>
      <c r="I1383" s="277">
        <v>97</v>
      </c>
      <c r="J1383" s="277">
        <v>21500</v>
      </c>
      <c r="K1383" s="38">
        <f t="shared" si="55"/>
        <v>2085500</v>
      </c>
      <c r="L1383" s="208" t="s">
        <v>49</v>
      </c>
      <c r="M1383" s="208" t="s">
        <v>208</v>
      </c>
      <c r="N1383" s="55" t="str">
        <f>IF(AND('331-CT'!$E$7=TH!H1383,OR(L1383="331",M1383="331")),"x","")</f>
        <v/>
      </c>
      <c r="O1383" s="55" t="str">
        <f>IF(AND($B1383&gt;='111'!$N$11,$B1383&lt;='111'!$O$11,OR($L1383=$O$7,$M1383=$O$7)),"x","")</f>
        <v>x</v>
      </c>
      <c r="P1383" s="55" t="str">
        <f>IF(AND($L1383=$O$7,$B1383&lt;'111'!$N$11),"x","")</f>
        <v/>
      </c>
      <c r="Q1383" s="55" t="str">
        <f>IF(AND($M1383=$O$7,$B1383&lt;'111'!$N$11),"x","")</f>
        <v/>
      </c>
      <c r="R1383" s="55" t="str">
        <f>IF(ISERROR(FIND('112'!$M$9,G1383,1)),"",IF((AND(FIND('112'!$M$9,G1383,1)&gt;=1,$B1383&gt;='112'!$N$8,$B1383&lt;='112'!$O$8,OR($L1383='112'!$I$6,$M1383='112'!$I$6))),"x",""))</f>
        <v/>
      </c>
      <c r="S1383" s="55" t="str">
        <f>IF(ISERROR(FIND('112'!$M$9,G1383,1)),"",IF((AND(LEFT(G1383,2)=LEFT('112'!$M$9,2),B1383&lt;'112'!$N$8,$L1383='112'!$I$6)),"x",""))</f>
        <v/>
      </c>
      <c r="T1383" s="55" t="str">
        <f>IF(ISERROR(FIND('112'!$M$9,G1383,1)),"",IF((AND(RIGHT(G1383,2)=RIGHT('112'!$M$9,2),B1383&lt;'112'!$N$8,$M1383='112'!$I$6)),"x",""))</f>
        <v/>
      </c>
      <c r="U1383" s="55" t="str">
        <f>IF(AND('3411-CT'!$F$9=H1383,OR(LEFT(L1383,3)=$U$7,LEFT(M1383,3)=$U$7)),"x","")</f>
        <v/>
      </c>
      <c r="V1383" s="55" t="str">
        <f>IF(OR(TH!L1383=TH!$V$7,M1383=TH!$V$7),"x","")</f>
        <v/>
      </c>
      <c r="W1383" s="55" t="str">
        <f>IF(AND(OR(L1383="131",M1383="131"),H1383='131-CT'!$E$7),"x","")</f>
        <v/>
      </c>
      <c r="X1383" s="55" t="str">
        <f>IF(AND(B1383&gt;='IN-NX'!$P$3,B1383&lt;='IN-NX'!$Q$3,'IN-NX'!$D$7=D1383,OR(LEFT(TH!L1383,2)="15",LEFT(TH!M1383,2)="15")),"x","")</f>
        <v/>
      </c>
      <c r="Y1383" s="55" t="str">
        <f>IF(AND(OR(LEFT(TH!L1383,2)="15",LEFT(TH!M1383,2)="15"),'152-CT'!$J$8=TH!F1383),"x","")</f>
        <v/>
      </c>
      <c r="Z1383" s="55" t="str">
        <f>IF(AND(OR(LEFT(TH!L1383,2)="15",LEFT(TH!M1383,2)="15"),TK!$E$7=TH!F1383),"x","")</f>
        <v/>
      </c>
      <c r="AA1383" s="55" t="str">
        <f>IF(AND(B1383&lt;=NKC!$N$8,B1383&gt;=NKC!$M$8),"x","")</f>
        <v/>
      </c>
    </row>
    <row r="1384" spans="1:29" ht="15.75" customHeight="1">
      <c r="A1384" s="219">
        <f>IF(B1384&lt;&gt;"",IF(AND(B1384&gt;=_TM1,B1384&lt;=_TM2,OR(TH!L1384="1111",TH!M1384="1111")),TH!D1384,""),"")</f>
        <v>0</v>
      </c>
      <c r="B1384" s="36">
        <f t="shared" si="57"/>
        <v>12</v>
      </c>
      <c r="C1384" s="205">
        <f t="shared" si="58"/>
        <v>41272</v>
      </c>
      <c r="D1384" s="205"/>
      <c r="E1384" s="205">
        <v>41272</v>
      </c>
      <c r="F1384" s="206" t="s">
        <v>1549</v>
      </c>
      <c r="G1384" s="581" t="s">
        <v>1547</v>
      </c>
      <c r="H1384" s="207" t="s">
        <v>1548</v>
      </c>
      <c r="I1384" s="277">
        <v>376</v>
      </c>
      <c r="J1384" s="277">
        <v>23520</v>
      </c>
      <c r="K1384" s="38">
        <f t="shared" si="55"/>
        <v>8843520</v>
      </c>
      <c r="L1384" s="208" t="s">
        <v>49</v>
      </c>
      <c r="M1384" s="208" t="s">
        <v>208</v>
      </c>
      <c r="N1384" s="55" t="str">
        <f>IF(AND('331-CT'!$E$7=TH!H1384,OR(L1384="331",M1384="331")),"x","")</f>
        <v/>
      </c>
      <c r="O1384" s="55" t="str">
        <f>IF(AND($B1384&gt;='111'!$N$11,$B1384&lt;='111'!$O$11,OR($L1384=$O$7,$M1384=$O$7)),"x","")</f>
        <v>x</v>
      </c>
      <c r="P1384" s="55" t="str">
        <f>IF(AND($L1384=$O$7,$B1384&lt;'111'!$N$11),"x","")</f>
        <v/>
      </c>
      <c r="Q1384" s="55" t="str">
        <f>IF(AND($M1384=$O$7,$B1384&lt;'111'!$N$11),"x","")</f>
        <v/>
      </c>
      <c r="R1384" s="55" t="str">
        <f>IF(ISERROR(FIND('112'!$M$9,G1384,1)),"",IF((AND(FIND('112'!$M$9,G1384,1)&gt;=1,$B1384&gt;='112'!$N$8,$B1384&lt;='112'!$O$8,OR($L1384='112'!$I$6,$M1384='112'!$I$6))),"x",""))</f>
        <v/>
      </c>
      <c r="S1384" s="55" t="str">
        <f>IF(ISERROR(FIND('112'!$M$9,G1384,1)),"",IF((AND(LEFT(G1384,2)=LEFT('112'!$M$9,2),B1384&lt;'112'!$N$8,$L1384='112'!$I$6)),"x",""))</f>
        <v/>
      </c>
      <c r="T1384" s="55" t="str">
        <f>IF(ISERROR(FIND('112'!$M$9,G1384,1)),"",IF((AND(RIGHT(G1384,2)=RIGHT('112'!$M$9,2),B1384&lt;'112'!$N$8,$M1384='112'!$I$6)),"x",""))</f>
        <v/>
      </c>
      <c r="U1384" s="55" t="str">
        <f>IF(AND('3411-CT'!$F$9=H1384,OR(LEFT(L1384,3)=$U$7,LEFT(M1384,3)=$U$7)),"x","")</f>
        <v/>
      </c>
      <c r="V1384" s="55" t="str">
        <f>IF(OR(TH!L1384=TH!$V$7,M1384=TH!$V$7),"x","")</f>
        <v/>
      </c>
      <c r="W1384" s="55" t="str">
        <f>IF(AND(OR(L1384="131",M1384="131"),H1384='131-CT'!$E$7),"x","")</f>
        <v/>
      </c>
      <c r="X1384" s="55" t="str">
        <f>IF(AND(B1384&gt;='IN-NX'!$P$3,B1384&lt;='IN-NX'!$Q$3,'IN-NX'!$D$7=D1384,OR(LEFT(TH!L1384,2)="15",LEFT(TH!M1384,2)="15")),"x","")</f>
        <v/>
      </c>
      <c r="Y1384" s="55" t="str">
        <f>IF(AND(OR(LEFT(TH!L1384,2)="15",LEFT(TH!M1384,2)="15"),'152-CT'!$J$8=TH!F1384),"x","")</f>
        <v/>
      </c>
      <c r="Z1384" s="55" t="str">
        <f>IF(AND(OR(LEFT(TH!L1384,2)="15",LEFT(TH!M1384,2)="15"),TK!$E$7=TH!F1384),"x","")</f>
        <v/>
      </c>
      <c r="AA1384" s="55" t="str">
        <f>IF(AND(B1384&lt;=NKC!$N$8,B1384&gt;=NKC!$M$8),"x","")</f>
        <v/>
      </c>
    </row>
    <row r="1385" spans="1:29" ht="15.75" customHeight="1">
      <c r="A1385" s="219">
        <f>IF(B1385&lt;&gt;"",IF(AND(B1385&gt;=_TM1,B1385&lt;=_TM2,OR(TH!L1385="1111",TH!M1385="1111")),TH!D1385,""),"")</f>
        <v>0</v>
      </c>
      <c r="B1385" s="36">
        <f t="shared" si="57"/>
        <v>12</v>
      </c>
      <c r="C1385" s="205">
        <f t="shared" si="58"/>
        <v>41272</v>
      </c>
      <c r="D1385" s="205"/>
      <c r="E1385" s="205">
        <v>41272</v>
      </c>
      <c r="F1385" s="206" t="s">
        <v>1185</v>
      </c>
      <c r="G1385" s="581" t="s">
        <v>1547</v>
      </c>
      <c r="H1385" s="207" t="s">
        <v>1548</v>
      </c>
      <c r="I1385" s="277"/>
      <c r="J1385" s="277"/>
      <c r="K1385" s="38">
        <v>1092902</v>
      </c>
      <c r="L1385" s="208" t="s">
        <v>49</v>
      </c>
      <c r="M1385" s="208" t="s">
        <v>549</v>
      </c>
      <c r="N1385" s="55" t="str">
        <f>IF(AND('331-CT'!$E$7=TH!H1385,OR(L1385="331",M1385="331")),"x","")</f>
        <v/>
      </c>
      <c r="O1385" s="55" t="str">
        <f>IF(AND($B1385&gt;='111'!$N$11,$B1385&lt;='111'!$O$11,OR($L1385=$O$7,$M1385=$O$7)),"x","")</f>
        <v>x</v>
      </c>
      <c r="P1385" s="55" t="str">
        <f>IF(AND($L1385=$O$7,$B1385&lt;'111'!$N$11),"x","")</f>
        <v/>
      </c>
      <c r="Q1385" s="55" t="str">
        <f>IF(AND($M1385=$O$7,$B1385&lt;'111'!$N$11),"x","")</f>
        <v/>
      </c>
      <c r="R1385" s="55" t="str">
        <f>IF(ISERROR(FIND('112'!$M$9,G1385,1)),"",IF((AND(FIND('112'!$M$9,G1385,1)&gt;=1,$B1385&gt;='112'!$N$8,$B1385&lt;='112'!$O$8,OR($L1385='112'!$I$6,$M1385='112'!$I$6))),"x",""))</f>
        <v/>
      </c>
      <c r="S1385" s="55" t="str">
        <f>IF(ISERROR(FIND('112'!$M$9,G1385,1)),"",IF((AND(LEFT(G1385,2)=LEFT('112'!$M$9,2),B1385&lt;'112'!$N$8,$L1385='112'!$I$6)),"x",""))</f>
        <v/>
      </c>
      <c r="T1385" s="55" t="str">
        <f>IF(ISERROR(FIND('112'!$M$9,G1385,1)),"",IF((AND(RIGHT(G1385,2)=RIGHT('112'!$M$9,2),B1385&lt;'112'!$N$8,$M1385='112'!$I$6)),"x",""))</f>
        <v/>
      </c>
      <c r="U1385" s="55" t="str">
        <f>IF(AND('3411-CT'!$F$9=H1385,OR(LEFT(L1385,3)=$U$7,LEFT(M1385,3)=$U$7)),"x","")</f>
        <v/>
      </c>
      <c r="V1385" s="55" t="str">
        <f>IF(OR(TH!L1385=TH!$V$7,M1385=TH!$V$7),"x","")</f>
        <v/>
      </c>
      <c r="W1385" s="55" t="str">
        <f>IF(AND(OR(L1385="131",M1385="131"),H1385='131-CT'!$E$7),"x","")</f>
        <v/>
      </c>
      <c r="X1385" s="55" t="str">
        <f>IF(AND(B1385&gt;='IN-NX'!$P$3,B1385&lt;='IN-NX'!$Q$3,'IN-NX'!$D$7=D1385,OR(LEFT(TH!L1385,2)="15",LEFT(TH!M1385,2)="15")),"x","")</f>
        <v/>
      </c>
      <c r="Y1385" s="55" t="str">
        <f>IF(AND(OR(LEFT(TH!L1385,2)="15",LEFT(TH!M1385,2)="15"),'152-CT'!$J$8=TH!F1385),"x","")</f>
        <v/>
      </c>
      <c r="Z1385" s="55" t="str">
        <f>IF(AND(OR(LEFT(TH!L1385,2)="15",LEFT(TH!M1385,2)="15"),TK!$E$7=TH!F1385),"x","")</f>
        <v/>
      </c>
      <c r="AA1385" s="55" t="str">
        <f>IF(AND(B1385&lt;=NKC!$N$8,B1385&gt;=NKC!$M$8),"x","")</f>
        <v/>
      </c>
      <c r="AC1385" s="226"/>
    </row>
    <row r="1386" spans="1:29" ht="15.75" customHeight="1">
      <c r="A1386" s="219" t="str">
        <f>IF(B1386&lt;&gt;"",IF(AND(B1386&gt;=_TM1,B1386&lt;=_TM2,OR(TH!L1386="1111",TH!M1386="1111")),TH!D1386,""),"")</f>
        <v/>
      </c>
      <c r="B1386" s="36">
        <f t="shared" si="57"/>
        <v>12</v>
      </c>
      <c r="C1386" s="205">
        <f t="shared" si="58"/>
        <v>41272</v>
      </c>
      <c r="D1386" s="205"/>
      <c r="E1386" s="205">
        <v>41272</v>
      </c>
      <c r="F1386" s="206" t="s">
        <v>1521</v>
      </c>
      <c r="G1386" s="581" t="s">
        <v>1550</v>
      </c>
      <c r="H1386" s="7" t="s">
        <v>1131</v>
      </c>
      <c r="I1386" s="277">
        <v>1020</v>
      </c>
      <c r="J1386" s="277">
        <v>13630</v>
      </c>
      <c r="K1386" s="38">
        <f t="shared" si="55"/>
        <v>13902600</v>
      </c>
      <c r="L1386" s="208" t="s">
        <v>311</v>
      </c>
      <c r="M1386" s="208" t="s">
        <v>208</v>
      </c>
      <c r="N1386" s="55" t="str">
        <f>IF(AND('331-CT'!$E$7=TH!H1386,OR(L1386="331",M1386="331")),"x","")</f>
        <v/>
      </c>
      <c r="O1386" s="55" t="str">
        <f>IF(AND($B1386&gt;='111'!$N$11,$B1386&lt;='111'!$O$11,OR($L1386=$O$7,$M1386=$O$7)),"x","")</f>
        <v/>
      </c>
      <c r="P1386" s="55" t="str">
        <f>IF(AND($L1386=$O$7,$B1386&lt;'111'!$N$11),"x","")</f>
        <v/>
      </c>
      <c r="Q1386" s="55" t="str">
        <f>IF(AND($M1386=$O$7,$B1386&lt;'111'!$N$11),"x","")</f>
        <v/>
      </c>
      <c r="R1386" s="55" t="str">
        <f>IF(ISERROR(FIND('112'!$M$9,G1386,1)),"",IF((AND(FIND('112'!$M$9,G1386,1)&gt;=1,$B1386&gt;='112'!$N$8,$B1386&lt;='112'!$O$8,OR($L1386='112'!$I$6,$M1386='112'!$I$6))),"x",""))</f>
        <v/>
      </c>
      <c r="S1386" s="55" t="str">
        <f>IF(ISERROR(FIND('112'!$M$9,G1386,1)),"",IF((AND(LEFT(G1386,2)=LEFT('112'!$M$9,2),B1386&lt;'112'!$N$8,$L1386='112'!$I$6)),"x",""))</f>
        <v/>
      </c>
      <c r="T1386" s="55" t="str">
        <f>IF(ISERROR(FIND('112'!$M$9,G1386,1)),"",IF((AND(RIGHT(G1386,2)=RIGHT('112'!$M$9,2),B1386&lt;'112'!$N$8,$M1386='112'!$I$6)),"x",""))</f>
        <v/>
      </c>
      <c r="U1386" s="55" t="str">
        <f>IF(AND('3411-CT'!$F$9=H1386,OR(LEFT(L1386,3)=$U$7,LEFT(M1386,3)=$U$7)),"x","")</f>
        <v/>
      </c>
      <c r="V1386" s="55" t="str">
        <f>IF(OR(TH!L1386=TH!$V$7,M1386=TH!$V$7),"x","")</f>
        <v/>
      </c>
      <c r="W1386" s="55" t="str">
        <f>IF(AND(OR(L1386="131",M1386="131"),H1386='131-CT'!$E$7),"x","")</f>
        <v/>
      </c>
      <c r="X1386" s="55" t="str">
        <f>IF(AND(B1386&gt;='IN-NX'!$P$3,B1386&lt;='IN-NX'!$Q$3,'IN-NX'!$D$7=D1386,OR(LEFT(TH!L1386,2)="15",LEFT(TH!M1386,2)="15")),"x","")</f>
        <v/>
      </c>
      <c r="Y1386" s="55" t="str">
        <f>IF(AND(OR(LEFT(TH!L1386,2)="15",LEFT(TH!M1386,2)="15"),'152-CT'!$J$8=TH!F1386),"x","")</f>
        <v/>
      </c>
      <c r="Z1386" s="55" t="str">
        <f>IF(AND(OR(LEFT(TH!L1386,2)="15",LEFT(TH!M1386,2)="15"),TK!$E$7=TH!F1386),"x","")</f>
        <v/>
      </c>
      <c r="AA1386" s="55" t="str">
        <f>IF(AND(B1386&lt;=NKC!$N$8,B1386&gt;=NKC!$M$8),"x","")</f>
        <v/>
      </c>
    </row>
    <row r="1387" spans="1:29" ht="15.75" customHeight="1">
      <c r="A1387" s="219" t="str">
        <f>IF(B1387&lt;&gt;"",IF(AND(B1387&gt;=_TM1,B1387&lt;=_TM2,OR(TH!L1387="1111",TH!M1387="1111")),TH!D1387,""),"")</f>
        <v/>
      </c>
      <c r="B1387" s="36">
        <f t="shared" si="57"/>
        <v>12</v>
      </c>
      <c r="C1387" s="205">
        <f t="shared" si="58"/>
        <v>41272</v>
      </c>
      <c r="D1387" s="205"/>
      <c r="E1387" s="205">
        <v>41272</v>
      </c>
      <c r="F1387" s="206" t="s">
        <v>1185</v>
      </c>
      <c r="G1387" s="581" t="s">
        <v>1550</v>
      </c>
      <c r="H1387" s="7" t="s">
        <v>1131</v>
      </c>
      <c r="I1387" s="277"/>
      <c r="J1387" s="277"/>
      <c r="K1387" s="38">
        <v>1390260</v>
      </c>
      <c r="L1387" s="208" t="s">
        <v>311</v>
      </c>
      <c r="M1387" s="208" t="s">
        <v>549</v>
      </c>
      <c r="N1387" s="55" t="str">
        <f>IF(AND('331-CT'!$E$7=TH!H1387,OR(L1387="331",M1387="331")),"x","")</f>
        <v/>
      </c>
      <c r="O1387" s="55" t="str">
        <f>IF(AND($B1387&gt;='111'!$N$11,$B1387&lt;='111'!$O$11,OR($L1387=$O$7,$M1387=$O$7)),"x","")</f>
        <v/>
      </c>
      <c r="P1387" s="55" t="str">
        <f>IF(AND($L1387=$O$7,$B1387&lt;'111'!$N$11),"x","")</f>
        <v/>
      </c>
      <c r="Q1387" s="55" t="str">
        <f>IF(AND($M1387=$O$7,$B1387&lt;'111'!$N$11),"x","")</f>
        <v/>
      </c>
      <c r="R1387" s="55" t="str">
        <f>IF(ISERROR(FIND('112'!$M$9,G1387,1)),"",IF((AND(FIND('112'!$M$9,G1387,1)&gt;=1,$B1387&gt;='112'!$N$8,$B1387&lt;='112'!$O$8,OR($L1387='112'!$I$6,$M1387='112'!$I$6))),"x",""))</f>
        <v/>
      </c>
      <c r="S1387" s="55" t="str">
        <f>IF(ISERROR(FIND('112'!$M$9,G1387,1)),"",IF((AND(LEFT(G1387,2)=LEFT('112'!$M$9,2),B1387&lt;'112'!$N$8,$L1387='112'!$I$6)),"x",""))</f>
        <v/>
      </c>
      <c r="T1387" s="55" t="str">
        <f>IF(ISERROR(FIND('112'!$M$9,G1387,1)),"",IF((AND(RIGHT(G1387,2)=RIGHT('112'!$M$9,2),B1387&lt;'112'!$N$8,$M1387='112'!$I$6)),"x",""))</f>
        <v/>
      </c>
      <c r="U1387" s="55" t="str">
        <f>IF(AND('3411-CT'!$F$9=H1387,OR(LEFT(L1387,3)=$U$7,LEFT(M1387,3)=$U$7)),"x","")</f>
        <v/>
      </c>
      <c r="V1387" s="55" t="str">
        <f>IF(OR(TH!L1387=TH!$V$7,M1387=TH!$V$7),"x","")</f>
        <v/>
      </c>
      <c r="W1387" s="55" t="str">
        <f>IF(AND(OR(L1387="131",M1387="131"),H1387='131-CT'!$E$7),"x","")</f>
        <v/>
      </c>
      <c r="X1387" s="55" t="str">
        <f>IF(AND(B1387&gt;='IN-NX'!$P$3,B1387&lt;='IN-NX'!$Q$3,'IN-NX'!$D$7=D1387,OR(LEFT(TH!L1387,2)="15",LEFT(TH!M1387,2)="15")),"x","")</f>
        <v/>
      </c>
      <c r="Y1387" s="55" t="str">
        <f>IF(AND(OR(LEFT(TH!L1387,2)="15",LEFT(TH!M1387,2)="15"),'152-CT'!$J$8=TH!F1387),"x","")</f>
        <v/>
      </c>
      <c r="Z1387" s="55" t="str">
        <f>IF(AND(OR(LEFT(TH!L1387,2)="15",LEFT(TH!M1387,2)="15"),TK!$E$7=TH!F1387),"x","")</f>
        <v/>
      </c>
      <c r="AA1387" s="55" t="str">
        <f>IF(AND(B1387&lt;=NKC!$N$8,B1387&gt;=NKC!$M$8),"x","")</f>
        <v/>
      </c>
      <c r="AC1387" s="226"/>
    </row>
    <row r="1388" spans="1:29" ht="15.75" customHeight="1">
      <c r="A1388" s="219" t="str">
        <f>IF(B1388&lt;&gt;"",IF(AND(B1388&gt;=_TM1,B1388&lt;=_TM2,OR(TH!L1388="1111",TH!M1388="1111")),TH!D1388,""),"")</f>
        <v/>
      </c>
      <c r="B1388" s="36" t="str">
        <f t="shared" si="57"/>
        <v/>
      </c>
      <c r="C1388" s="37"/>
      <c r="D1388" s="37"/>
      <c r="E1388" s="37"/>
      <c r="F1388" s="40"/>
      <c r="G1388" s="40"/>
      <c r="H1388" s="45"/>
      <c r="I1388" s="277"/>
      <c r="J1388" s="277"/>
      <c r="K1388" s="38"/>
      <c r="L1388" s="39"/>
      <c r="M1388" s="39"/>
      <c r="N1388" s="55" t="str">
        <f>IF(AND('331-CT'!$E$7=TH!H1388,OR(L1388="331",M1388="331")),"x","")</f>
        <v/>
      </c>
      <c r="O1388" s="55" t="str">
        <f>IF(AND($B1388&gt;='111'!$N$11,$B1388&lt;='111'!$O$11,OR($L1388=$O$7,$M1388=$O$7)),"x","")</f>
        <v/>
      </c>
      <c r="P1388" s="55" t="str">
        <f>IF(AND($L1388=$O$7,$B1388&lt;'111'!$N$11),"x","")</f>
        <v/>
      </c>
      <c r="Q1388" s="55" t="str">
        <f>IF(AND($M1388=$O$7,$B1388&lt;'111'!$N$11),"x","")</f>
        <v/>
      </c>
      <c r="R1388" s="55" t="str">
        <f>IF(ISERROR(FIND('112'!$M$9,G1388,1)),"",IF((AND(FIND('112'!$M$9,G1388,1)&gt;=1,$B1388&gt;='112'!$N$8,$B1388&lt;='112'!$O$8,OR($L1388='112'!$I$6,$M1388='112'!$I$6))),"x",""))</f>
        <v/>
      </c>
      <c r="S1388" s="55" t="str">
        <f>IF(ISERROR(FIND('112'!$M$9,G1388,1)),"",IF((AND(LEFT(G1388,2)=LEFT('112'!$M$9,2),B1388&lt;'112'!$N$8,$L1388='112'!$I$6)),"x",""))</f>
        <v/>
      </c>
      <c r="T1388" s="55" t="str">
        <f>IF(ISERROR(FIND('112'!$M$9,G1388,1)),"",IF((AND(RIGHT(G1388,2)=RIGHT('112'!$M$9,2),B1388&lt;'112'!$N$8,$M1388='112'!$I$6)),"x",""))</f>
        <v/>
      </c>
      <c r="U1388" s="55" t="str">
        <f>IF(AND('3411-CT'!$F$9=H1388,OR(LEFT(L1388,3)=$U$7,LEFT(M1388,3)=$U$7)),"x","")</f>
        <v/>
      </c>
      <c r="V1388" s="55" t="str">
        <f>IF(OR(TH!L1388=TH!$V$7,M1388=TH!$V$7),"x","")</f>
        <v/>
      </c>
      <c r="W1388" s="55" t="str">
        <f>IF(AND(OR(L1388="131",M1388="131"),H1388='131-CT'!$E$7),"x","")</f>
        <v/>
      </c>
      <c r="X1388" s="55" t="str">
        <f>IF(AND(B1388&gt;='IN-NX'!$P$3,B1388&lt;='IN-NX'!$Q$3,'IN-NX'!$D$7=D1388,OR(LEFT(TH!L1388,2)="15",LEFT(TH!M1388,2)="15")),"x","")</f>
        <v/>
      </c>
      <c r="Y1388" s="55" t="str">
        <f>IF(AND(OR(LEFT(TH!L1388,2)="15",LEFT(TH!M1388,2)="15"),'152-CT'!$J$8=TH!F1388),"x","")</f>
        <v/>
      </c>
      <c r="Z1388" s="55" t="str">
        <f>IF(AND(OR(LEFT(TH!L1388,2)="15",LEFT(TH!M1388,2)="15"),TK!$E$7=TH!F1388),"x","")</f>
        <v/>
      </c>
      <c r="AA1388" s="55" t="str">
        <f>IF(AND(B1388&lt;=NKC!$N$8,B1388&gt;=NKC!$M$8),"x","")</f>
        <v/>
      </c>
    </row>
    <row r="1389" spans="1:29" ht="15.75" customHeight="1">
      <c r="A1389" s="219" t="str">
        <f>IF(B1389&lt;&gt;"",IF(AND(B1389&gt;=_TM1,B1389&lt;=_TM2,OR(TH!L1389="1111",TH!M1389="1111")),TH!D1389,""),"")</f>
        <v/>
      </c>
      <c r="B1389" s="36" t="str">
        <f t="shared" si="57"/>
        <v/>
      </c>
      <c r="C1389" s="37"/>
      <c r="D1389" s="37"/>
      <c r="E1389" s="37"/>
      <c r="F1389" s="40"/>
      <c r="G1389" s="40"/>
      <c r="H1389" s="45"/>
      <c r="I1389" s="277"/>
      <c r="J1389" s="277"/>
      <c r="K1389" s="38"/>
      <c r="L1389" s="39"/>
      <c r="M1389" s="39"/>
      <c r="N1389" s="55" t="str">
        <f>IF(AND('331-CT'!$E$7=TH!H1389,OR(L1389="331",M1389="331")),"x","")</f>
        <v/>
      </c>
      <c r="O1389" s="55" t="str">
        <f>IF(AND($B1389&gt;='111'!$N$11,$B1389&lt;='111'!$O$11,OR($L1389=$O$7,$M1389=$O$7)),"x","")</f>
        <v/>
      </c>
      <c r="P1389" s="55" t="str">
        <f>IF(AND($L1389=$O$7,$B1389&lt;'111'!$N$11),"x","")</f>
        <v/>
      </c>
      <c r="Q1389" s="55" t="str">
        <f>IF(AND($M1389=$O$7,$B1389&lt;'111'!$N$11),"x","")</f>
        <v/>
      </c>
      <c r="R1389" s="55" t="str">
        <f>IF(ISERROR(FIND('112'!$M$9,G1389,1)),"",IF((AND(FIND('112'!$M$9,G1389,1)&gt;=1,$B1389&gt;='112'!$N$8,$B1389&lt;='112'!$O$8,OR($L1389='112'!$I$6,$M1389='112'!$I$6))),"x",""))</f>
        <v/>
      </c>
      <c r="S1389" s="55" t="str">
        <f>IF(ISERROR(FIND('112'!$M$9,G1389,1)),"",IF((AND(LEFT(G1389,2)=LEFT('112'!$M$9,2),B1389&lt;'112'!$N$8,$L1389='112'!$I$6)),"x",""))</f>
        <v/>
      </c>
      <c r="T1389" s="55" t="str">
        <f>IF(ISERROR(FIND('112'!$M$9,G1389,1)),"",IF((AND(RIGHT(G1389,2)=RIGHT('112'!$M$9,2),B1389&lt;'112'!$N$8,$M1389='112'!$I$6)),"x",""))</f>
        <v/>
      </c>
      <c r="U1389" s="55" t="str">
        <f>IF(AND('3411-CT'!$F$9=H1389,OR(LEFT(L1389,3)=$U$7,LEFT(M1389,3)=$U$7)),"x","")</f>
        <v/>
      </c>
      <c r="V1389" s="55" t="str">
        <f>IF(OR(TH!L1389=TH!$V$7,M1389=TH!$V$7),"x","")</f>
        <v/>
      </c>
      <c r="W1389" s="55" t="str">
        <f>IF(AND(OR(L1389="131",M1389="131"),H1389='131-CT'!$E$7),"x","")</f>
        <v/>
      </c>
      <c r="X1389" s="55" t="str">
        <f>IF(AND(B1389&gt;='IN-NX'!$P$3,B1389&lt;='IN-NX'!$Q$3,'IN-NX'!$D$7=D1389,OR(LEFT(TH!L1389,2)="15",LEFT(TH!M1389,2)="15")),"x","")</f>
        <v/>
      </c>
      <c r="Y1389" s="55" t="str">
        <f>IF(AND(OR(LEFT(TH!L1389,2)="15",LEFT(TH!M1389,2)="15"),'152-CT'!$J$8=TH!F1389),"x","")</f>
        <v/>
      </c>
      <c r="Z1389" s="55" t="str">
        <f>IF(AND(OR(LEFT(TH!L1389,2)="15",LEFT(TH!M1389,2)="15"),TK!$E$7=TH!F1389),"x","")</f>
        <v/>
      </c>
      <c r="AA1389" s="55" t="str">
        <f>IF(AND(B1389&lt;=NKC!$N$8,B1389&gt;=NKC!$M$8),"x","")</f>
        <v/>
      </c>
    </row>
    <row r="1390" spans="1:29" ht="15.75" customHeight="1">
      <c r="A1390" s="219" t="str">
        <f>IF(B1390&lt;&gt;"",IF(AND(B1390&gt;=_TM1,B1390&lt;=_TM2,OR(TH!L1390="1111",TH!M1390="1111")),TH!D1390,""),"")</f>
        <v/>
      </c>
      <c r="B1390" s="36" t="str">
        <f t="shared" si="57"/>
        <v/>
      </c>
      <c r="C1390" s="37"/>
      <c r="D1390" s="37"/>
      <c r="E1390" s="37"/>
      <c r="F1390" s="40"/>
      <c r="G1390" s="40"/>
      <c r="H1390" s="45"/>
      <c r="I1390" s="277"/>
      <c r="J1390" s="277"/>
      <c r="K1390" s="38"/>
      <c r="L1390" s="39"/>
      <c r="M1390" s="39"/>
      <c r="N1390" s="55" t="str">
        <f>IF(AND('331-CT'!$E$7=TH!H1390,OR(L1390="331",M1390="331")),"x","")</f>
        <v/>
      </c>
      <c r="O1390" s="55" t="str">
        <f>IF(AND($B1390&gt;='111'!$N$11,$B1390&lt;='111'!$O$11,OR($L1390=$O$7,$M1390=$O$7)),"x","")</f>
        <v/>
      </c>
      <c r="P1390" s="55" t="str">
        <f>IF(AND($L1390=$O$7,$B1390&lt;'111'!$N$11),"x","")</f>
        <v/>
      </c>
      <c r="Q1390" s="55" t="str">
        <f>IF(AND($M1390=$O$7,$B1390&lt;'111'!$N$11),"x","")</f>
        <v/>
      </c>
      <c r="R1390" s="55" t="str">
        <f>IF(ISERROR(FIND('112'!$M$9,G1390,1)),"",IF((AND(FIND('112'!$M$9,G1390,1)&gt;=1,$B1390&gt;='112'!$N$8,$B1390&lt;='112'!$O$8,OR($L1390='112'!$I$6,$M1390='112'!$I$6))),"x",""))</f>
        <v/>
      </c>
      <c r="S1390" s="55" t="str">
        <f>IF(ISERROR(FIND('112'!$M$9,G1390,1)),"",IF((AND(LEFT(G1390,2)=LEFT('112'!$M$9,2),B1390&lt;'112'!$N$8,$L1390='112'!$I$6)),"x",""))</f>
        <v/>
      </c>
      <c r="T1390" s="55" t="str">
        <f>IF(ISERROR(FIND('112'!$M$9,G1390,1)),"",IF((AND(RIGHT(G1390,2)=RIGHT('112'!$M$9,2),B1390&lt;'112'!$N$8,$M1390='112'!$I$6)),"x",""))</f>
        <v/>
      </c>
      <c r="U1390" s="55" t="str">
        <f>IF(AND('3411-CT'!$F$9=H1390,OR(LEFT(L1390,3)=$U$7,LEFT(M1390,3)=$U$7)),"x","")</f>
        <v/>
      </c>
      <c r="V1390" s="55" t="str">
        <f>IF(OR(TH!L1390=TH!$V$7,M1390=TH!$V$7),"x","")</f>
        <v/>
      </c>
      <c r="W1390" s="55" t="str">
        <f>IF(AND(OR(L1390="131",M1390="131"),H1390='131-CT'!$E$7),"x","")</f>
        <v/>
      </c>
      <c r="X1390" s="55" t="str">
        <f>IF(AND(B1390&gt;='IN-NX'!$P$3,B1390&lt;='IN-NX'!$Q$3,'IN-NX'!$D$7=D1390,OR(LEFT(TH!L1390,2)="15",LEFT(TH!M1390,2)="15")),"x","")</f>
        <v/>
      </c>
      <c r="Y1390" s="55" t="str">
        <f>IF(AND(OR(LEFT(TH!L1390,2)="15",LEFT(TH!M1390,2)="15"),'152-CT'!$J$8=TH!F1390),"x","")</f>
        <v/>
      </c>
      <c r="Z1390" s="55" t="str">
        <f>IF(AND(OR(LEFT(TH!L1390,2)="15",LEFT(TH!M1390,2)="15"),TK!$E$7=TH!F1390),"x","")</f>
        <v/>
      </c>
      <c r="AA1390" s="55" t="str">
        <f>IF(AND(B1390&lt;=NKC!$N$8,B1390&gt;=NKC!$M$8),"x","")</f>
        <v/>
      </c>
    </row>
    <row r="1391" spans="1:29" ht="15.75" customHeight="1">
      <c r="A1391" s="219" t="str">
        <f>IF(B1391&lt;&gt;"",IF(AND(B1391&gt;=_TM1,B1391&lt;=_TM2,OR(TH!L1391="1111",TH!M1391="1111")),TH!D1391,""),"")</f>
        <v/>
      </c>
      <c r="B1391" s="36" t="str">
        <f t="shared" si="57"/>
        <v/>
      </c>
      <c r="C1391" s="37"/>
      <c r="D1391" s="37"/>
      <c r="E1391" s="37"/>
      <c r="F1391" s="40"/>
      <c r="G1391" s="40"/>
      <c r="H1391" s="45"/>
      <c r="I1391" s="277"/>
      <c r="J1391" s="277"/>
      <c r="K1391" s="38"/>
      <c r="L1391" s="39"/>
      <c r="M1391" s="39"/>
      <c r="N1391" s="55" t="str">
        <f>IF(AND('331-CT'!$E$7=TH!H1391,OR(L1391="331",M1391="331")),"x","")</f>
        <v/>
      </c>
      <c r="O1391" s="55" t="str">
        <f>IF(AND($B1391&gt;='111'!$N$11,$B1391&lt;='111'!$O$11,OR($L1391=$O$7,$M1391=$O$7)),"x","")</f>
        <v/>
      </c>
      <c r="P1391" s="55" t="str">
        <f>IF(AND($L1391=$O$7,$B1391&lt;'111'!$N$11),"x","")</f>
        <v/>
      </c>
      <c r="Q1391" s="55" t="str">
        <f>IF(AND($M1391=$O$7,$B1391&lt;'111'!$N$11),"x","")</f>
        <v/>
      </c>
      <c r="R1391" s="55" t="str">
        <f>IF(ISERROR(FIND('112'!$M$9,G1391,1)),"",IF((AND(FIND('112'!$M$9,G1391,1)&gt;=1,$B1391&gt;='112'!$N$8,$B1391&lt;='112'!$O$8,OR($L1391='112'!$I$6,$M1391='112'!$I$6))),"x",""))</f>
        <v/>
      </c>
      <c r="S1391" s="55" t="str">
        <f>IF(ISERROR(FIND('112'!$M$9,G1391,1)),"",IF((AND(LEFT(G1391,2)=LEFT('112'!$M$9,2),B1391&lt;'112'!$N$8,$L1391='112'!$I$6)),"x",""))</f>
        <v/>
      </c>
      <c r="T1391" s="55" t="str">
        <f>IF(ISERROR(FIND('112'!$M$9,G1391,1)),"",IF((AND(RIGHT(G1391,2)=RIGHT('112'!$M$9,2),B1391&lt;'112'!$N$8,$M1391='112'!$I$6)),"x",""))</f>
        <v/>
      </c>
      <c r="U1391" s="55" t="str">
        <f>IF(AND('3411-CT'!$F$9=H1391,OR(LEFT(L1391,3)=$U$7,LEFT(M1391,3)=$U$7)),"x","")</f>
        <v/>
      </c>
      <c r="V1391" s="55" t="str">
        <f>IF(OR(TH!L1391=TH!$V$7,M1391=TH!$V$7),"x","")</f>
        <v/>
      </c>
      <c r="W1391" s="55" t="str">
        <f>IF(AND(OR(L1391="131",M1391="131"),H1391='131-CT'!$E$7),"x","")</f>
        <v/>
      </c>
      <c r="X1391" s="55" t="str">
        <f>IF(AND(B1391&gt;='IN-NX'!$P$3,B1391&lt;='IN-NX'!$Q$3,'IN-NX'!$D$7=D1391,OR(LEFT(TH!L1391,2)="15",LEFT(TH!M1391,2)="15")),"x","")</f>
        <v/>
      </c>
      <c r="Y1391" s="55" t="str">
        <f>IF(AND(OR(LEFT(TH!L1391,2)="15",LEFT(TH!M1391,2)="15"),'152-CT'!$J$8=TH!F1391),"x","")</f>
        <v/>
      </c>
      <c r="Z1391" s="55" t="str">
        <f>IF(AND(OR(LEFT(TH!L1391,2)="15",LEFT(TH!M1391,2)="15"),TK!$E$7=TH!F1391),"x","")</f>
        <v/>
      </c>
      <c r="AA1391" s="55" t="str">
        <f>IF(AND(B1391&lt;=NKC!$N$8,B1391&gt;=NKC!$M$8),"x","")</f>
        <v/>
      </c>
    </row>
    <row r="1392" spans="1:29" ht="15.75" customHeight="1">
      <c r="A1392" s="219" t="str">
        <f>IF(B1392&lt;&gt;"",IF(AND(B1392&gt;=_TM1,B1392&lt;=_TM2,OR(TH!L1392="1111",TH!M1392="1111")),TH!D1392,""),"")</f>
        <v/>
      </c>
      <c r="B1392" s="36" t="str">
        <f t="shared" si="57"/>
        <v/>
      </c>
      <c r="C1392" s="37"/>
      <c r="D1392" s="37"/>
      <c r="E1392" s="37"/>
      <c r="F1392" s="40"/>
      <c r="G1392" s="40"/>
      <c r="H1392" s="45"/>
      <c r="I1392" s="277"/>
      <c r="J1392" s="277"/>
      <c r="K1392" s="38"/>
      <c r="L1392" s="39"/>
      <c r="M1392" s="39"/>
      <c r="N1392" s="55" t="str">
        <f>IF(AND('331-CT'!$E$7=TH!H1392,OR(L1392="331",M1392="331")),"x","")</f>
        <v/>
      </c>
      <c r="O1392" s="55" t="str">
        <f>IF(AND($B1392&gt;='111'!$N$11,$B1392&lt;='111'!$O$11,OR($L1392=$O$7,$M1392=$O$7)),"x","")</f>
        <v/>
      </c>
      <c r="P1392" s="55" t="str">
        <f>IF(AND($L1392=$O$7,$B1392&lt;'111'!$N$11),"x","")</f>
        <v/>
      </c>
      <c r="Q1392" s="55" t="str">
        <f>IF(AND($M1392=$O$7,$B1392&lt;'111'!$N$11),"x","")</f>
        <v/>
      </c>
      <c r="R1392" s="55" t="str">
        <f>IF(ISERROR(FIND('112'!$M$9,G1392,1)),"",IF((AND(FIND('112'!$M$9,G1392,1)&gt;=1,$B1392&gt;='112'!$N$8,$B1392&lt;='112'!$O$8,OR($L1392='112'!$I$6,$M1392='112'!$I$6))),"x",""))</f>
        <v/>
      </c>
      <c r="S1392" s="55" t="str">
        <f>IF(ISERROR(FIND('112'!$M$9,G1392,1)),"",IF((AND(LEFT(G1392,2)=LEFT('112'!$M$9,2),B1392&lt;'112'!$N$8,$L1392='112'!$I$6)),"x",""))</f>
        <v/>
      </c>
      <c r="T1392" s="55" t="str">
        <f>IF(ISERROR(FIND('112'!$M$9,G1392,1)),"",IF((AND(RIGHT(G1392,2)=RIGHT('112'!$M$9,2),B1392&lt;'112'!$N$8,$M1392='112'!$I$6)),"x",""))</f>
        <v/>
      </c>
      <c r="U1392" s="55" t="str">
        <f>IF(AND('3411-CT'!$F$9=H1392,OR(LEFT(L1392,3)=$U$7,LEFT(M1392,3)=$U$7)),"x","")</f>
        <v/>
      </c>
      <c r="V1392" s="55" t="str">
        <f>IF(OR(TH!L1392=TH!$V$7,M1392=TH!$V$7),"x","")</f>
        <v/>
      </c>
      <c r="W1392" s="55" t="str">
        <f>IF(AND(OR(L1392="131",M1392="131"),H1392='131-CT'!$E$7),"x","")</f>
        <v/>
      </c>
      <c r="X1392" s="55" t="str">
        <f>IF(AND(B1392&gt;='IN-NX'!$P$3,B1392&lt;='IN-NX'!$Q$3,'IN-NX'!$D$7=D1392,OR(LEFT(TH!L1392,2)="15",LEFT(TH!M1392,2)="15")),"x","")</f>
        <v/>
      </c>
      <c r="Y1392" s="55" t="str">
        <f>IF(AND(OR(LEFT(TH!L1392,2)="15",LEFT(TH!M1392,2)="15"),'152-CT'!$J$8=TH!F1392),"x","")</f>
        <v/>
      </c>
      <c r="Z1392" s="55" t="str">
        <f>IF(AND(OR(LEFT(TH!L1392,2)="15",LEFT(TH!M1392,2)="15"),TK!$E$7=TH!F1392),"x","")</f>
        <v/>
      </c>
      <c r="AA1392" s="55" t="str">
        <f>IF(AND(B1392&lt;=NKC!$N$8,B1392&gt;=NKC!$M$8),"x","")</f>
        <v/>
      </c>
    </row>
    <row r="1393" spans="1:27" ht="15.75" customHeight="1">
      <c r="A1393" s="219" t="str">
        <f>IF(B1393&lt;&gt;"",IF(AND(B1393&gt;=_TM1,B1393&lt;=_TM2,OR(TH!L1393="1111",TH!M1393="1111")),TH!D1393,""),"")</f>
        <v/>
      </c>
      <c r="B1393" s="36" t="str">
        <f t="shared" si="57"/>
        <v/>
      </c>
      <c r="C1393" s="37"/>
      <c r="D1393" s="37"/>
      <c r="E1393" s="37"/>
      <c r="F1393" s="40"/>
      <c r="G1393" s="40"/>
      <c r="H1393" s="45"/>
      <c r="I1393" s="277"/>
      <c r="J1393" s="277"/>
      <c r="K1393" s="38"/>
      <c r="L1393" s="39"/>
      <c r="M1393" s="39"/>
      <c r="N1393" s="55" t="str">
        <f>IF(AND('331-CT'!$E$7=TH!H1393,OR(L1393="331",M1393="331")),"x","")</f>
        <v/>
      </c>
      <c r="O1393" s="55" t="str">
        <f>IF(AND($B1393&gt;='111'!$N$11,$B1393&lt;='111'!$O$11,OR($L1393=$O$7,$M1393=$O$7)),"x","")</f>
        <v/>
      </c>
      <c r="P1393" s="55" t="str">
        <f>IF(AND($L1393=$O$7,$B1393&lt;'111'!$N$11),"x","")</f>
        <v/>
      </c>
      <c r="Q1393" s="55" t="str">
        <f>IF(AND($M1393=$O$7,$B1393&lt;'111'!$N$11),"x","")</f>
        <v/>
      </c>
      <c r="R1393" s="55" t="str">
        <f>IF(ISERROR(FIND('112'!$M$9,G1393,1)),"",IF((AND(FIND('112'!$M$9,G1393,1)&gt;=1,$B1393&gt;='112'!$N$8,$B1393&lt;='112'!$O$8,OR($L1393='112'!$I$6,$M1393='112'!$I$6))),"x",""))</f>
        <v/>
      </c>
      <c r="S1393" s="55" t="str">
        <f>IF(ISERROR(FIND('112'!$M$9,G1393,1)),"",IF((AND(LEFT(G1393,2)=LEFT('112'!$M$9,2),B1393&lt;'112'!$N$8,$L1393='112'!$I$6)),"x",""))</f>
        <v/>
      </c>
      <c r="T1393" s="55" t="str">
        <f>IF(ISERROR(FIND('112'!$M$9,G1393,1)),"",IF((AND(RIGHT(G1393,2)=RIGHT('112'!$M$9,2),B1393&lt;'112'!$N$8,$M1393='112'!$I$6)),"x",""))</f>
        <v/>
      </c>
      <c r="U1393" s="55" t="str">
        <f>IF(AND('3411-CT'!$F$9=H1393,OR(LEFT(L1393,3)=$U$7,LEFT(M1393,3)=$U$7)),"x","")</f>
        <v/>
      </c>
      <c r="V1393" s="55" t="str">
        <f>IF(OR(TH!L1393=TH!$V$7,M1393=TH!$V$7),"x","")</f>
        <v/>
      </c>
      <c r="W1393" s="55" t="str">
        <f>IF(AND(OR(L1393="131",M1393="131"),H1393='131-CT'!$E$7),"x","")</f>
        <v/>
      </c>
      <c r="X1393" s="55" t="str">
        <f>IF(AND(B1393&gt;='IN-NX'!$P$3,B1393&lt;='IN-NX'!$Q$3,'IN-NX'!$D$7=D1393,OR(LEFT(TH!L1393,2)="15",LEFT(TH!M1393,2)="15")),"x","")</f>
        <v/>
      </c>
      <c r="Y1393" s="55" t="str">
        <f>IF(AND(OR(LEFT(TH!L1393,2)="15",LEFT(TH!M1393,2)="15"),'152-CT'!$J$8=TH!F1393),"x","")</f>
        <v/>
      </c>
      <c r="Z1393" s="55" t="str">
        <f>IF(AND(OR(LEFT(TH!L1393,2)="15",LEFT(TH!M1393,2)="15"),TK!$E$7=TH!F1393),"x","")</f>
        <v/>
      </c>
      <c r="AA1393" s="55" t="str">
        <f>IF(AND(B1393&lt;=NKC!$N$8,B1393&gt;=NKC!$M$8),"x","")</f>
        <v/>
      </c>
    </row>
    <row r="1394" spans="1:27" ht="15.75" customHeight="1">
      <c r="A1394" s="219" t="str">
        <f>IF(B1394&lt;&gt;"",IF(AND(B1394&gt;=_TM1,B1394&lt;=_TM2,OR(TH!L1394="1111",TH!M1394="1111")),TH!D1394,""),"")</f>
        <v/>
      </c>
      <c r="B1394" s="36" t="str">
        <f t="shared" si="57"/>
        <v/>
      </c>
      <c r="C1394" s="37"/>
      <c r="D1394" s="37"/>
      <c r="E1394" s="37"/>
      <c r="F1394" s="40"/>
      <c r="G1394" s="40"/>
      <c r="H1394" s="45"/>
      <c r="I1394" s="277"/>
      <c r="J1394" s="277"/>
      <c r="K1394" s="38"/>
      <c r="L1394" s="39"/>
      <c r="M1394" s="39"/>
      <c r="N1394" s="55" t="str">
        <f>IF(AND('331-CT'!$E$7=TH!H1394,OR(L1394="331",M1394="331")),"x","")</f>
        <v/>
      </c>
      <c r="O1394" s="55" t="str">
        <f>IF(AND($B1394&gt;='111'!$N$11,$B1394&lt;='111'!$O$11,OR($L1394=$O$7,$M1394=$O$7)),"x","")</f>
        <v/>
      </c>
      <c r="P1394" s="55" t="str">
        <f>IF(AND($L1394=$O$7,$B1394&lt;'111'!$N$11),"x","")</f>
        <v/>
      </c>
      <c r="Q1394" s="55" t="str">
        <f>IF(AND($M1394=$O$7,$B1394&lt;'111'!$N$11),"x","")</f>
        <v/>
      </c>
      <c r="R1394" s="55" t="str">
        <f>IF(ISERROR(FIND('112'!$M$9,G1394,1)),"",IF((AND(FIND('112'!$M$9,G1394,1)&gt;=1,$B1394&gt;='112'!$N$8,$B1394&lt;='112'!$O$8,OR($L1394='112'!$I$6,$M1394='112'!$I$6))),"x",""))</f>
        <v/>
      </c>
      <c r="S1394" s="55" t="str">
        <f>IF(ISERROR(FIND('112'!$M$9,G1394,1)),"",IF((AND(LEFT(G1394,2)=LEFT('112'!$M$9,2),B1394&lt;'112'!$N$8,$L1394='112'!$I$6)),"x",""))</f>
        <v/>
      </c>
      <c r="T1394" s="55" t="str">
        <f>IF(ISERROR(FIND('112'!$M$9,G1394,1)),"",IF((AND(RIGHT(G1394,2)=RIGHT('112'!$M$9,2),B1394&lt;'112'!$N$8,$M1394='112'!$I$6)),"x",""))</f>
        <v/>
      </c>
      <c r="U1394" s="55" t="str">
        <f>IF(AND('3411-CT'!$F$9=H1394,OR(LEFT(L1394,3)=$U$7,LEFT(M1394,3)=$U$7)),"x","")</f>
        <v/>
      </c>
      <c r="V1394" s="55" t="str">
        <f>IF(OR(TH!L1394=TH!$V$7,M1394=TH!$V$7),"x","")</f>
        <v/>
      </c>
      <c r="W1394" s="55" t="str">
        <f>IF(AND(OR(L1394="131",M1394="131"),H1394='131-CT'!$E$7),"x","")</f>
        <v/>
      </c>
      <c r="X1394" s="55" t="str">
        <f>IF(AND(B1394&gt;='IN-NX'!$P$3,B1394&lt;='IN-NX'!$Q$3,'IN-NX'!$D$7=D1394,OR(LEFT(TH!L1394,2)="15",LEFT(TH!M1394,2)="15")),"x","")</f>
        <v/>
      </c>
      <c r="Y1394" s="55" t="str">
        <f>IF(AND(OR(LEFT(TH!L1394,2)="15",LEFT(TH!M1394,2)="15"),'152-CT'!$J$8=TH!F1394),"x","")</f>
        <v/>
      </c>
      <c r="Z1394" s="55" t="str">
        <f>IF(AND(OR(LEFT(TH!L1394,2)="15",LEFT(TH!M1394,2)="15"),TK!$E$7=TH!F1394),"x","")</f>
        <v/>
      </c>
      <c r="AA1394" s="55" t="str">
        <f>IF(AND(B1394&lt;=NKC!$N$8,B1394&gt;=NKC!$M$8),"x","")</f>
        <v/>
      </c>
    </row>
    <row r="1395" spans="1:27" ht="15.75" customHeight="1">
      <c r="A1395" s="219" t="str">
        <f>IF(B1395&lt;&gt;"",IF(AND(B1395&gt;=_TM1,B1395&lt;=_TM2,OR(TH!L1395="1111",TH!M1395="1111")),TH!D1395,""),"")</f>
        <v/>
      </c>
      <c r="B1395" s="36" t="str">
        <f t="shared" si="57"/>
        <v/>
      </c>
      <c r="C1395" s="37"/>
      <c r="D1395" s="37"/>
      <c r="E1395" s="37"/>
      <c r="F1395" s="40"/>
      <c r="G1395" s="40"/>
      <c r="H1395" s="45"/>
      <c r="I1395" s="277"/>
      <c r="J1395" s="277"/>
      <c r="K1395" s="38"/>
      <c r="L1395" s="39"/>
      <c r="M1395" s="39"/>
      <c r="N1395" s="55" t="str">
        <f>IF(AND('331-CT'!$E$7=TH!H1395,OR(L1395="331",M1395="331")),"x","")</f>
        <v/>
      </c>
      <c r="O1395" s="55" t="str">
        <f>IF(AND($B1395&gt;='111'!$N$11,$B1395&lt;='111'!$O$11,OR($L1395=$O$7,$M1395=$O$7)),"x","")</f>
        <v/>
      </c>
      <c r="P1395" s="55" t="str">
        <f>IF(AND($L1395=$O$7,$B1395&lt;'111'!$N$11),"x","")</f>
        <v/>
      </c>
      <c r="Q1395" s="55" t="str">
        <f>IF(AND($M1395=$O$7,$B1395&lt;'111'!$N$11),"x","")</f>
        <v/>
      </c>
      <c r="R1395" s="55" t="str">
        <f>IF(ISERROR(FIND('112'!$M$9,G1395,1)),"",IF((AND(FIND('112'!$M$9,G1395,1)&gt;=1,$B1395&gt;='112'!$N$8,$B1395&lt;='112'!$O$8,OR($L1395='112'!$I$6,$M1395='112'!$I$6))),"x",""))</f>
        <v/>
      </c>
      <c r="S1395" s="55" t="str">
        <f>IF(ISERROR(FIND('112'!$M$9,G1395,1)),"",IF((AND(LEFT(G1395,2)=LEFT('112'!$M$9,2),B1395&lt;'112'!$N$8,$L1395='112'!$I$6)),"x",""))</f>
        <v/>
      </c>
      <c r="T1395" s="55" t="str">
        <f>IF(ISERROR(FIND('112'!$M$9,G1395,1)),"",IF((AND(RIGHT(G1395,2)=RIGHT('112'!$M$9,2),B1395&lt;'112'!$N$8,$M1395='112'!$I$6)),"x",""))</f>
        <v/>
      </c>
      <c r="U1395" s="55" t="str">
        <f>IF(AND('3411-CT'!$F$9=H1395,OR(LEFT(L1395,3)=$U$7,LEFT(M1395,3)=$U$7)),"x","")</f>
        <v/>
      </c>
      <c r="V1395" s="55" t="str">
        <f>IF(OR(TH!L1395=TH!$V$7,M1395=TH!$V$7),"x","")</f>
        <v/>
      </c>
      <c r="W1395" s="55" t="str">
        <f>IF(AND(OR(L1395="131",M1395="131"),H1395='131-CT'!$E$7),"x","")</f>
        <v/>
      </c>
      <c r="X1395" s="55" t="str">
        <f>IF(AND(B1395&gt;='IN-NX'!$P$3,B1395&lt;='IN-NX'!$Q$3,'IN-NX'!$D$7=D1395,OR(LEFT(TH!L1395,2)="15",LEFT(TH!M1395,2)="15")),"x","")</f>
        <v/>
      </c>
      <c r="Y1395" s="55" t="str">
        <f>IF(AND(OR(LEFT(TH!L1395,2)="15",LEFT(TH!M1395,2)="15"),'152-CT'!$J$8=TH!F1395),"x","")</f>
        <v/>
      </c>
      <c r="Z1395" s="55" t="str">
        <f>IF(AND(OR(LEFT(TH!L1395,2)="15",LEFT(TH!M1395,2)="15"),TK!$E$7=TH!F1395),"x","")</f>
        <v/>
      </c>
      <c r="AA1395" s="55" t="str">
        <f>IF(AND(B1395&lt;=NKC!$N$8,B1395&gt;=NKC!$M$8),"x","")</f>
        <v/>
      </c>
    </row>
    <row r="1396" spans="1:27" ht="15.75" customHeight="1">
      <c r="A1396" s="219" t="str">
        <f>IF(B1396&lt;&gt;"",IF(AND(B1396&gt;=_TM1,B1396&lt;=_TM2,OR(TH!L1396="1111",TH!M1396="1111")),TH!D1396,""),"")</f>
        <v/>
      </c>
      <c r="B1396" s="36" t="str">
        <f t="shared" si="57"/>
        <v/>
      </c>
      <c r="C1396" s="37"/>
      <c r="D1396" s="37"/>
      <c r="E1396" s="37"/>
      <c r="F1396" s="40"/>
      <c r="G1396" s="40"/>
      <c r="H1396" s="45"/>
      <c r="I1396" s="277"/>
      <c r="J1396" s="277"/>
      <c r="K1396" s="38"/>
      <c r="L1396" s="39"/>
      <c r="M1396" s="39"/>
      <c r="N1396" s="55" t="str">
        <f>IF(AND('331-CT'!$E$7=TH!H1396,OR(L1396="331",M1396="331")),"x","")</f>
        <v/>
      </c>
      <c r="O1396" s="55" t="str">
        <f>IF(AND($B1396&gt;='111'!$N$11,$B1396&lt;='111'!$O$11,OR($L1396=$O$7,$M1396=$O$7)),"x","")</f>
        <v/>
      </c>
      <c r="P1396" s="55" t="str">
        <f>IF(AND($L1396=$O$7,$B1396&lt;'111'!$N$11),"x","")</f>
        <v/>
      </c>
      <c r="Q1396" s="55" t="str">
        <f>IF(AND($M1396=$O$7,$B1396&lt;'111'!$N$11),"x","")</f>
        <v/>
      </c>
      <c r="R1396" s="55" t="str">
        <f>IF(ISERROR(FIND('112'!$M$9,G1396,1)),"",IF((AND(FIND('112'!$M$9,G1396,1)&gt;=1,$B1396&gt;='112'!$N$8,$B1396&lt;='112'!$O$8,OR($L1396='112'!$I$6,$M1396='112'!$I$6))),"x",""))</f>
        <v/>
      </c>
      <c r="S1396" s="55" t="str">
        <f>IF(ISERROR(FIND('112'!$M$9,G1396,1)),"",IF((AND(LEFT(G1396,2)=LEFT('112'!$M$9,2),B1396&lt;'112'!$N$8,$L1396='112'!$I$6)),"x",""))</f>
        <v/>
      </c>
      <c r="T1396" s="55" t="str">
        <f>IF(ISERROR(FIND('112'!$M$9,G1396,1)),"",IF((AND(RIGHT(G1396,2)=RIGHT('112'!$M$9,2),B1396&lt;'112'!$N$8,$M1396='112'!$I$6)),"x",""))</f>
        <v/>
      </c>
      <c r="U1396" s="55" t="str">
        <f>IF(AND('3411-CT'!$F$9=H1396,OR(LEFT(L1396,3)=$U$7,LEFT(M1396,3)=$U$7)),"x","")</f>
        <v/>
      </c>
      <c r="V1396" s="55" t="str">
        <f>IF(OR(TH!L1396=TH!$V$7,M1396=TH!$V$7),"x","")</f>
        <v/>
      </c>
      <c r="W1396" s="55" t="str">
        <f>IF(AND(OR(L1396="131",M1396="131"),H1396='131-CT'!$E$7),"x","")</f>
        <v/>
      </c>
      <c r="X1396" s="55" t="str">
        <f>IF(AND(B1396&gt;='IN-NX'!$P$3,B1396&lt;='IN-NX'!$Q$3,'IN-NX'!$D$7=D1396,OR(LEFT(TH!L1396,2)="15",LEFT(TH!M1396,2)="15")),"x","")</f>
        <v/>
      </c>
      <c r="Y1396" s="55" t="str">
        <f>IF(AND(OR(LEFT(TH!L1396,2)="15",LEFT(TH!M1396,2)="15"),'152-CT'!$J$8=TH!F1396),"x","")</f>
        <v/>
      </c>
      <c r="Z1396" s="55" t="str">
        <f>IF(AND(OR(LEFT(TH!L1396,2)="15",LEFT(TH!M1396,2)="15"),TK!$E$7=TH!F1396),"x","")</f>
        <v/>
      </c>
      <c r="AA1396" s="55" t="str">
        <f>IF(AND(B1396&lt;=NKC!$N$8,B1396&gt;=NKC!$M$8),"x","")</f>
        <v/>
      </c>
    </row>
    <row r="1397" spans="1:27" ht="15.75" customHeight="1">
      <c r="A1397" s="219" t="str">
        <f>IF(B1397&lt;&gt;"",IF(AND(B1397&gt;=_TM1,B1397&lt;=_TM2,OR(TH!L1397="1111",TH!M1397="1111")),TH!D1397,""),"")</f>
        <v/>
      </c>
      <c r="B1397" s="36" t="str">
        <f t="shared" si="57"/>
        <v/>
      </c>
      <c r="C1397" s="37"/>
      <c r="D1397" s="37"/>
      <c r="E1397" s="37"/>
      <c r="F1397" s="40"/>
      <c r="G1397" s="40"/>
      <c r="H1397" s="45"/>
      <c r="I1397" s="277"/>
      <c r="J1397" s="277"/>
      <c r="K1397" s="38"/>
      <c r="L1397" s="39"/>
      <c r="M1397" s="39"/>
      <c r="N1397" s="55" t="str">
        <f>IF(AND('331-CT'!$E$7=TH!H1397,OR(L1397="331",M1397="331")),"x","")</f>
        <v/>
      </c>
      <c r="O1397" s="55" t="str">
        <f>IF(AND($B1397&gt;='111'!$N$11,$B1397&lt;='111'!$O$11,OR($L1397=$O$7,$M1397=$O$7)),"x","")</f>
        <v/>
      </c>
      <c r="P1397" s="55" t="str">
        <f>IF(AND($L1397=$O$7,$B1397&lt;'111'!$N$11),"x","")</f>
        <v/>
      </c>
      <c r="Q1397" s="55" t="str">
        <f>IF(AND($M1397=$O$7,$B1397&lt;'111'!$N$11),"x","")</f>
        <v/>
      </c>
      <c r="R1397" s="55" t="str">
        <f>IF(ISERROR(FIND('112'!$M$9,G1397,1)),"",IF((AND(FIND('112'!$M$9,G1397,1)&gt;=1,$B1397&gt;='112'!$N$8,$B1397&lt;='112'!$O$8,OR($L1397='112'!$I$6,$M1397='112'!$I$6))),"x",""))</f>
        <v/>
      </c>
      <c r="S1397" s="55" t="str">
        <f>IF(ISERROR(FIND('112'!$M$9,G1397,1)),"",IF((AND(LEFT(G1397,2)=LEFT('112'!$M$9,2),B1397&lt;'112'!$N$8,$L1397='112'!$I$6)),"x",""))</f>
        <v/>
      </c>
      <c r="T1397" s="55" t="str">
        <f>IF(ISERROR(FIND('112'!$M$9,G1397,1)),"",IF((AND(RIGHT(G1397,2)=RIGHT('112'!$M$9,2),B1397&lt;'112'!$N$8,$M1397='112'!$I$6)),"x",""))</f>
        <v/>
      </c>
      <c r="U1397" s="55" t="str">
        <f>IF(AND('3411-CT'!$F$9=H1397,OR(LEFT(L1397,3)=$U$7,LEFT(M1397,3)=$U$7)),"x","")</f>
        <v/>
      </c>
      <c r="V1397" s="55" t="str">
        <f>IF(OR(TH!L1397=TH!$V$7,M1397=TH!$V$7),"x","")</f>
        <v/>
      </c>
      <c r="W1397" s="55" t="str">
        <f>IF(AND(OR(L1397="131",M1397="131"),H1397='131-CT'!$E$7),"x","")</f>
        <v/>
      </c>
      <c r="X1397" s="55" t="str">
        <f>IF(AND(B1397&gt;='IN-NX'!$P$3,B1397&lt;='IN-NX'!$Q$3,'IN-NX'!$D$7=D1397,OR(LEFT(TH!L1397,2)="15",LEFT(TH!M1397,2)="15")),"x","")</f>
        <v/>
      </c>
      <c r="Y1397" s="55" t="str">
        <f>IF(AND(OR(LEFT(TH!L1397,2)="15",LEFT(TH!M1397,2)="15"),'152-CT'!$J$8=TH!F1397),"x","")</f>
        <v/>
      </c>
      <c r="Z1397" s="55" t="str">
        <f>IF(AND(OR(LEFT(TH!L1397,2)="15",LEFT(TH!M1397,2)="15"),TK!$E$7=TH!F1397),"x","")</f>
        <v/>
      </c>
      <c r="AA1397" s="55" t="str">
        <f>IF(AND(B1397&lt;=NKC!$N$8,B1397&gt;=NKC!$M$8),"x","")</f>
        <v/>
      </c>
    </row>
    <row r="1398" spans="1:27" ht="15.75" customHeight="1">
      <c r="A1398" s="219" t="str">
        <f>IF(B1398&lt;&gt;"",IF(AND(B1398&gt;=_TM1,B1398&lt;=_TM2,OR(TH!L1398="1111",TH!M1398="1111")),TH!D1398,""),"")</f>
        <v/>
      </c>
      <c r="B1398" s="36" t="str">
        <f t="shared" si="57"/>
        <v/>
      </c>
      <c r="C1398" s="37"/>
      <c r="D1398" s="37"/>
      <c r="E1398" s="37"/>
      <c r="F1398" s="40"/>
      <c r="G1398" s="40"/>
      <c r="H1398" s="45"/>
      <c r="I1398" s="277"/>
      <c r="J1398" s="277"/>
      <c r="K1398" s="38"/>
      <c r="L1398" s="39"/>
      <c r="M1398" s="39"/>
      <c r="N1398" s="55" t="str">
        <f>IF(AND('331-CT'!$E$7=TH!H1398,OR(L1398="331",M1398="331")),"x","")</f>
        <v/>
      </c>
      <c r="O1398" s="55" t="str">
        <f>IF(AND($B1398&gt;='111'!$N$11,$B1398&lt;='111'!$O$11,OR($L1398=$O$7,$M1398=$O$7)),"x","")</f>
        <v/>
      </c>
      <c r="P1398" s="55" t="str">
        <f>IF(AND($L1398=$O$7,$B1398&lt;'111'!$N$11),"x","")</f>
        <v/>
      </c>
      <c r="Q1398" s="55" t="str">
        <f>IF(AND($M1398=$O$7,$B1398&lt;'111'!$N$11),"x","")</f>
        <v/>
      </c>
      <c r="R1398" s="55" t="str">
        <f>IF(ISERROR(FIND('112'!$M$9,G1398,1)),"",IF((AND(FIND('112'!$M$9,G1398,1)&gt;=1,$B1398&gt;='112'!$N$8,$B1398&lt;='112'!$O$8,OR($L1398='112'!$I$6,$M1398='112'!$I$6))),"x",""))</f>
        <v/>
      </c>
      <c r="S1398" s="55" t="str">
        <f>IF(ISERROR(FIND('112'!$M$9,G1398,1)),"",IF((AND(LEFT(G1398,2)=LEFT('112'!$M$9,2),B1398&lt;'112'!$N$8,$L1398='112'!$I$6)),"x",""))</f>
        <v/>
      </c>
      <c r="T1398" s="55" t="str">
        <f>IF(ISERROR(FIND('112'!$M$9,G1398,1)),"",IF((AND(RIGHT(G1398,2)=RIGHT('112'!$M$9,2),B1398&lt;'112'!$N$8,$M1398='112'!$I$6)),"x",""))</f>
        <v/>
      </c>
      <c r="U1398" s="55" t="str">
        <f>IF(AND('3411-CT'!$F$9=H1398,OR(LEFT(L1398,3)=$U$7,LEFT(M1398,3)=$U$7)),"x","")</f>
        <v/>
      </c>
      <c r="V1398" s="55" t="str">
        <f>IF(OR(TH!L1398=TH!$V$7,M1398=TH!$V$7),"x","")</f>
        <v/>
      </c>
      <c r="W1398" s="55" t="str">
        <f>IF(AND(OR(L1398="131",M1398="131"),H1398='131-CT'!$E$7),"x","")</f>
        <v/>
      </c>
      <c r="X1398" s="55" t="str">
        <f>IF(AND(B1398&gt;='IN-NX'!$P$3,B1398&lt;='IN-NX'!$Q$3,'IN-NX'!$D$7=D1398,OR(LEFT(TH!L1398,2)="15",LEFT(TH!M1398,2)="15")),"x","")</f>
        <v/>
      </c>
      <c r="Y1398" s="55" t="str">
        <f>IF(AND(OR(LEFT(TH!L1398,2)="15",LEFT(TH!M1398,2)="15"),'152-CT'!$J$8=TH!F1398),"x","")</f>
        <v/>
      </c>
      <c r="Z1398" s="55" t="str">
        <f>IF(AND(OR(LEFT(TH!L1398,2)="15",LEFT(TH!M1398,2)="15"),TK!$E$7=TH!F1398),"x","")</f>
        <v/>
      </c>
      <c r="AA1398" s="55" t="str">
        <f>IF(AND(B1398&lt;=NKC!$N$8,B1398&gt;=NKC!$M$8),"x","")</f>
        <v/>
      </c>
    </row>
    <row r="1399" spans="1:27" ht="15.75" customHeight="1">
      <c r="A1399" s="219" t="str">
        <f>IF(B1399&lt;&gt;"",IF(AND(B1399&gt;=_TM1,B1399&lt;=_TM2,OR(TH!L1399="1111",TH!M1399="1111")),TH!D1399,""),"")</f>
        <v/>
      </c>
      <c r="B1399" s="36" t="str">
        <f t="shared" si="57"/>
        <v/>
      </c>
      <c r="C1399" s="37"/>
      <c r="D1399" s="37"/>
      <c r="E1399" s="37"/>
      <c r="F1399" s="40"/>
      <c r="G1399" s="40"/>
      <c r="H1399" s="45"/>
      <c r="I1399" s="277"/>
      <c r="J1399" s="277"/>
      <c r="K1399" s="38"/>
      <c r="L1399" s="39"/>
      <c r="M1399" s="39"/>
      <c r="N1399" s="55" t="str">
        <f>IF(AND('331-CT'!$E$7=TH!H1399,OR(L1399="331",M1399="331")),"x","")</f>
        <v/>
      </c>
      <c r="O1399" s="55" t="str">
        <f>IF(AND($B1399&gt;='111'!$N$11,$B1399&lt;='111'!$O$11,OR($L1399=$O$7,$M1399=$O$7)),"x","")</f>
        <v/>
      </c>
      <c r="P1399" s="55" t="str">
        <f>IF(AND($L1399=$O$7,$B1399&lt;'111'!$N$11),"x","")</f>
        <v/>
      </c>
      <c r="Q1399" s="55" t="str">
        <f>IF(AND($M1399=$O$7,$B1399&lt;'111'!$N$11),"x","")</f>
        <v/>
      </c>
      <c r="R1399" s="55" t="str">
        <f>IF(ISERROR(FIND('112'!$M$9,G1399,1)),"",IF((AND(FIND('112'!$M$9,G1399,1)&gt;=1,$B1399&gt;='112'!$N$8,$B1399&lt;='112'!$O$8,OR($L1399='112'!$I$6,$M1399='112'!$I$6))),"x",""))</f>
        <v/>
      </c>
      <c r="S1399" s="55" t="str">
        <f>IF(ISERROR(FIND('112'!$M$9,G1399,1)),"",IF((AND(LEFT(G1399,2)=LEFT('112'!$M$9,2),B1399&lt;'112'!$N$8,$L1399='112'!$I$6)),"x",""))</f>
        <v/>
      </c>
      <c r="T1399" s="55" t="str">
        <f>IF(ISERROR(FIND('112'!$M$9,G1399,1)),"",IF((AND(RIGHT(G1399,2)=RIGHT('112'!$M$9,2),B1399&lt;'112'!$N$8,$M1399='112'!$I$6)),"x",""))</f>
        <v/>
      </c>
      <c r="U1399" s="55" t="str">
        <f>IF(AND('3411-CT'!$F$9=H1399,OR(LEFT(L1399,3)=$U$7,LEFT(M1399,3)=$U$7)),"x","")</f>
        <v/>
      </c>
      <c r="V1399" s="55" t="str">
        <f>IF(OR(TH!L1399=TH!$V$7,M1399=TH!$V$7),"x","")</f>
        <v/>
      </c>
      <c r="W1399" s="55" t="str">
        <f>IF(AND(OR(L1399="131",M1399="131"),H1399='131-CT'!$E$7),"x","")</f>
        <v/>
      </c>
      <c r="X1399" s="55" t="str">
        <f>IF(AND(B1399&gt;='IN-NX'!$P$3,B1399&lt;='IN-NX'!$Q$3,'IN-NX'!$D$7=D1399,OR(LEFT(TH!L1399,2)="15",LEFT(TH!M1399,2)="15")),"x","")</f>
        <v/>
      </c>
      <c r="Y1399" s="55" t="str">
        <f>IF(AND(OR(LEFT(TH!L1399,2)="15",LEFT(TH!M1399,2)="15"),'152-CT'!$J$8=TH!F1399),"x","")</f>
        <v/>
      </c>
      <c r="Z1399" s="55" t="str">
        <f>IF(AND(OR(LEFT(TH!L1399,2)="15",LEFT(TH!M1399,2)="15"),TK!$E$7=TH!F1399),"x","")</f>
        <v/>
      </c>
      <c r="AA1399" s="55" t="str">
        <f>IF(AND(B1399&lt;=NKC!$N$8,B1399&gt;=NKC!$M$8),"x","")</f>
        <v/>
      </c>
    </row>
    <row r="1400" spans="1:27" ht="15.75" customHeight="1">
      <c r="A1400" s="219" t="str">
        <f>IF(B1400&lt;&gt;"",IF(AND(B1400&gt;=_TM1,B1400&lt;=_TM2,OR(TH!L1400="1111",TH!M1400="1111")),TH!D1400,""),"")</f>
        <v/>
      </c>
      <c r="B1400" s="36" t="str">
        <f t="shared" si="57"/>
        <v/>
      </c>
      <c r="C1400" s="37"/>
      <c r="D1400" s="37"/>
      <c r="E1400" s="37"/>
      <c r="F1400" s="40"/>
      <c r="G1400" s="40"/>
      <c r="H1400" s="45"/>
      <c r="I1400" s="277"/>
      <c r="J1400" s="277"/>
      <c r="K1400" s="38"/>
      <c r="L1400" s="39"/>
      <c r="M1400" s="39"/>
      <c r="N1400" s="55" t="str">
        <f>IF(AND('331-CT'!$E$7=TH!H1400,OR(L1400="331",M1400="331")),"x","")</f>
        <v/>
      </c>
      <c r="O1400" s="55" t="str">
        <f>IF(AND($B1400&gt;='111'!$N$11,$B1400&lt;='111'!$O$11,OR($L1400=$O$7,$M1400=$O$7)),"x","")</f>
        <v/>
      </c>
      <c r="P1400" s="55" t="str">
        <f>IF(AND($L1400=$O$7,$B1400&lt;'111'!$N$11),"x","")</f>
        <v/>
      </c>
      <c r="Q1400" s="55" t="str">
        <f>IF(AND($M1400=$O$7,$B1400&lt;'111'!$N$11),"x","")</f>
        <v/>
      </c>
      <c r="R1400" s="55" t="str">
        <f>IF(ISERROR(FIND('112'!$M$9,G1400,1)),"",IF((AND(FIND('112'!$M$9,G1400,1)&gt;=1,$B1400&gt;='112'!$N$8,$B1400&lt;='112'!$O$8,OR($L1400='112'!$I$6,$M1400='112'!$I$6))),"x",""))</f>
        <v/>
      </c>
      <c r="S1400" s="55" t="str">
        <f>IF(ISERROR(FIND('112'!$M$9,G1400,1)),"",IF((AND(LEFT(G1400,2)=LEFT('112'!$M$9,2),B1400&lt;'112'!$N$8,$L1400='112'!$I$6)),"x",""))</f>
        <v/>
      </c>
      <c r="T1400" s="55" t="str">
        <f>IF(ISERROR(FIND('112'!$M$9,G1400,1)),"",IF((AND(RIGHT(G1400,2)=RIGHT('112'!$M$9,2),B1400&lt;'112'!$N$8,$M1400='112'!$I$6)),"x",""))</f>
        <v/>
      </c>
      <c r="U1400" s="55" t="str">
        <f>IF(AND('3411-CT'!$F$9=H1400,OR(LEFT(L1400,3)=$U$7,LEFT(M1400,3)=$U$7)),"x","")</f>
        <v/>
      </c>
      <c r="V1400" s="55" t="str">
        <f>IF(OR(TH!L1400=TH!$V$7,M1400=TH!$V$7),"x","")</f>
        <v/>
      </c>
      <c r="W1400" s="55" t="str">
        <f>IF(AND(OR(L1400="131",M1400="131"),H1400='131-CT'!$E$7),"x","")</f>
        <v/>
      </c>
      <c r="X1400" s="55" t="str">
        <f>IF(AND(B1400&gt;='IN-NX'!$P$3,B1400&lt;='IN-NX'!$Q$3,'IN-NX'!$D$7=D1400,OR(LEFT(TH!L1400,2)="15",LEFT(TH!M1400,2)="15")),"x","")</f>
        <v/>
      </c>
      <c r="Y1400" s="55" t="str">
        <f>IF(AND(OR(LEFT(TH!L1400,2)="15",LEFT(TH!M1400,2)="15"),'152-CT'!$J$8=TH!F1400),"x","")</f>
        <v/>
      </c>
      <c r="Z1400" s="55" t="str">
        <f>IF(AND(OR(LEFT(TH!L1400,2)="15",LEFT(TH!M1400,2)="15"),TK!$E$7=TH!F1400),"x","")</f>
        <v/>
      </c>
      <c r="AA1400" s="55" t="str">
        <f>IF(AND(B1400&lt;=NKC!$N$8,B1400&gt;=NKC!$M$8),"x","")</f>
        <v/>
      </c>
    </row>
    <row r="1401" spans="1:27" s="226" customFormat="1" ht="15.75" customHeight="1">
      <c r="A1401" s="219" t="str">
        <f>IF(B1401&lt;&gt;"",IF(AND(B1401&gt;=_TM1,B1401&lt;=_TM2,OR(TH!L1401="1111",TH!M1401="1111")),TH!D1401,""),"")</f>
        <v/>
      </c>
      <c r="B1401" s="36" t="str">
        <f t="shared" si="57"/>
        <v/>
      </c>
      <c r="C1401" s="37"/>
      <c r="D1401" s="205"/>
      <c r="E1401" s="205"/>
      <c r="F1401" s="206"/>
      <c r="G1401" s="206"/>
      <c r="H1401" s="207"/>
      <c r="I1401" s="277"/>
      <c r="J1401" s="277"/>
      <c r="K1401" s="38"/>
      <c r="L1401" s="208"/>
      <c r="M1401" s="208"/>
      <c r="N1401" s="55" t="str">
        <f>IF(AND('331-CT'!$E$7=TH!H1401,OR(L1401="331",M1401="331")),"x","")</f>
        <v/>
      </c>
      <c r="O1401" s="55" t="str">
        <f>IF(AND($B1401&gt;='111'!$N$11,$B1401&lt;='111'!$O$11,OR($L1401=$O$7,$M1401=$O$7)),"x","")</f>
        <v/>
      </c>
      <c r="P1401" s="55" t="str">
        <f>IF(AND($L1401=$O$7,$B1401&lt;'111'!$N$11),"x","")</f>
        <v/>
      </c>
      <c r="Q1401" s="55" t="str">
        <f>IF(AND($M1401=$O$7,$B1401&lt;'111'!$N$11),"x","")</f>
        <v/>
      </c>
      <c r="R1401" s="55" t="str">
        <f>IF(ISERROR(FIND('112'!$M$9,G1401,1)),"",IF((AND(FIND('112'!$M$9,G1401,1)&gt;=1,$B1401&gt;='112'!$N$8,$B1401&lt;='112'!$O$8,OR($L1401='112'!$I$6,$M1401='112'!$I$6))),"x",""))</f>
        <v/>
      </c>
      <c r="S1401" s="55" t="str">
        <f>IF(ISERROR(FIND('112'!$M$9,G1401,1)),"",IF((AND(LEFT(G1401,2)=LEFT('112'!$M$9,2),B1401&lt;'112'!$N$8,$L1401='112'!$I$6)),"x",""))</f>
        <v/>
      </c>
      <c r="T1401" s="55" t="str">
        <f>IF(ISERROR(FIND('112'!$M$9,G1401,1)),"",IF((AND(RIGHT(G1401,2)=RIGHT('112'!$M$9,2),B1401&lt;'112'!$N$8,$M1401='112'!$I$6)),"x",""))</f>
        <v/>
      </c>
      <c r="U1401" s="55" t="str">
        <f>IF(AND('3411-CT'!$F$9=H1401,OR(LEFT(L1401,3)=$U$7,LEFT(M1401,3)=$U$7)),"x","")</f>
        <v/>
      </c>
      <c r="V1401" s="55" t="str">
        <f>IF(OR(TH!L1401=TH!$V$7,M1401=TH!$V$7),"x","")</f>
        <v/>
      </c>
      <c r="W1401" s="55" t="str">
        <f>IF(AND(OR(L1401="131",M1401="131"),H1401='131-CT'!$E$7),"x","")</f>
        <v/>
      </c>
      <c r="X1401" s="55" t="str">
        <f>IF(AND(B1401&gt;='IN-NX'!$P$3,B1401&lt;='IN-NX'!$Q$3,'IN-NX'!$D$7=D1401,OR(LEFT(TH!L1401,2)="15",LEFT(TH!M1401,2)="15")),"x","")</f>
        <v/>
      </c>
      <c r="Y1401" s="55" t="str">
        <f>IF(AND(OR(LEFT(TH!L1401,2)="15",LEFT(TH!M1401,2)="15"),'152-CT'!$J$8=TH!F1401),"x","")</f>
        <v/>
      </c>
      <c r="Z1401" s="55" t="str">
        <f>IF(AND(OR(LEFT(TH!L1401,2)="15",LEFT(TH!M1401,2)="15"),TK!$E$7=TH!F1401),"x","")</f>
        <v/>
      </c>
      <c r="AA1401" s="55" t="str">
        <f>IF(AND(B1401&lt;=NKC!$N$8,B1401&gt;=NKC!$M$8),"x","")</f>
        <v/>
      </c>
    </row>
    <row r="1402" spans="1:27" s="226" customFormat="1" ht="15.75" customHeight="1">
      <c r="A1402" s="219" t="str">
        <f>IF(B1402&lt;&gt;"",IF(AND(B1402&gt;=_TM1,B1402&lt;=_TM2,OR(TH!L1402="1111",TH!M1402="1111")),TH!D1402,""),"")</f>
        <v/>
      </c>
      <c r="B1402" s="36" t="str">
        <f t="shared" si="57"/>
        <v/>
      </c>
      <c r="C1402" s="37"/>
      <c r="D1402" s="205"/>
      <c r="E1402" s="205"/>
      <c r="F1402" s="206"/>
      <c r="G1402" s="206"/>
      <c r="H1402" s="207"/>
      <c r="I1402" s="277"/>
      <c r="J1402" s="277"/>
      <c r="K1402" s="38"/>
      <c r="L1402" s="208"/>
      <c r="M1402" s="208"/>
      <c r="N1402" s="55" t="str">
        <f>IF(AND('331-CT'!$E$7=TH!H1402,OR(L1402="331",M1402="331")),"x","")</f>
        <v/>
      </c>
      <c r="O1402" s="55" t="str">
        <f>IF(AND($B1402&gt;='111'!$N$11,$B1402&lt;='111'!$O$11,OR($L1402=$O$7,$M1402=$O$7)),"x","")</f>
        <v/>
      </c>
      <c r="P1402" s="55" t="str">
        <f>IF(AND($L1402=$O$7,$B1402&lt;'111'!$N$11),"x","")</f>
        <v/>
      </c>
      <c r="Q1402" s="55" t="str">
        <f>IF(AND($M1402=$O$7,$B1402&lt;'111'!$N$11),"x","")</f>
        <v/>
      </c>
      <c r="R1402" s="55" t="str">
        <f>IF(ISERROR(FIND('112'!$M$9,G1402,1)),"",IF((AND(FIND('112'!$M$9,G1402,1)&gt;=1,$B1402&gt;='112'!$N$8,$B1402&lt;='112'!$O$8,OR($L1402='112'!$I$6,$M1402='112'!$I$6))),"x",""))</f>
        <v/>
      </c>
      <c r="S1402" s="55" t="str">
        <f>IF(ISERROR(FIND('112'!$M$9,G1402,1)),"",IF((AND(LEFT(G1402,2)=LEFT('112'!$M$9,2),B1402&lt;'112'!$N$8,$L1402='112'!$I$6)),"x",""))</f>
        <v/>
      </c>
      <c r="T1402" s="55" t="str">
        <f>IF(ISERROR(FIND('112'!$M$9,G1402,1)),"",IF((AND(RIGHT(G1402,2)=RIGHT('112'!$M$9,2),B1402&lt;'112'!$N$8,$M1402='112'!$I$6)),"x",""))</f>
        <v/>
      </c>
      <c r="U1402" s="55" t="str">
        <f>IF(AND('3411-CT'!$F$9=H1402,OR(LEFT(L1402,3)=$U$7,LEFT(M1402,3)=$U$7)),"x","")</f>
        <v/>
      </c>
      <c r="V1402" s="55" t="str">
        <f>IF(OR(TH!L1402=TH!$V$7,M1402=TH!$V$7),"x","")</f>
        <v/>
      </c>
      <c r="W1402" s="55" t="str">
        <f>IF(AND(OR(L1402="131",M1402="131"),H1402='131-CT'!$E$7),"x","")</f>
        <v/>
      </c>
      <c r="X1402" s="55" t="str">
        <f>IF(AND(B1402&gt;='IN-NX'!$P$3,B1402&lt;='IN-NX'!$Q$3,'IN-NX'!$D$7=D1402,OR(LEFT(TH!L1402,2)="15",LEFT(TH!M1402,2)="15")),"x","")</f>
        <v/>
      </c>
      <c r="Y1402" s="55" t="str">
        <f>IF(AND(OR(LEFT(TH!L1402,2)="15",LEFT(TH!M1402,2)="15"),'152-CT'!$J$8=TH!F1402),"x","")</f>
        <v/>
      </c>
      <c r="Z1402" s="55" t="str">
        <f>IF(AND(OR(LEFT(TH!L1402,2)="15",LEFT(TH!M1402,2)="15"),TK!$E$7=TH!F1402),"x","")</f>
        <v/>
      </c>
      <c r="AA1402" s="55" t="str">
        <f>IF(AND(B1402&lt;=NKC!$N$8,B1402&gt;=NKC!$M$8),"x","")</f>
        <v/>
      </c>
    </row>
    <row r="1403" spans="1:27" s="226" customFormat="1" ht="15.75" customHeight="1">
      <c r="A1403" s="219" t="str">
        <f>IF(B1403&lt;&gt;"",IF(AND(B1403&gt;=_TM1,B1403&lt;=_TM2,OR(TH!L1403="1111",TH!M1403="1111")),TH!D1403,""),"")</f>
        <v/>
      </c>
      <c r="B1403" s="36" t="str">
        <f t="shared" si="57"/>
        <v/>
      </c>
      <c r="C1403" s="37"/>
      <c r="D1403" s="205"/>
      <c r="E1403" s="205"/>
      <c r="F1403" s="206"/>
      <c r="G1403" s="206"/>
      <c r="H1403" s="207"/>
      <c r="I1403" s="277"/>
      <c r="J1403" s="277"/>
      <c r="K1403" s="38"/>
      <c r="L1403" s="208"/>
      <c r="M1403" s="208"/>
      <c r="N1403" s="55" t="str">
        <f>IF(AND('331-CT'!$E$7=TH!H1403,OR(L1403="331",M1403="331")),"x","")</f>
        <v/>
      </c>
      <c r="O1403" s="55" t="str">
        <f>IF(AND($B1403&gt;='111'!$N$11,$B1403&lt;='111'!$O$11,OR($L1403=$O$7,$M1403=$O$7)),"x","")</f>
        <v/>
      </c>
      <c r="P1403" s="55" t="str">
        <f>IF(AND($L1403=$O$7,$B1403&lt;'111'!$N$11),"x","")</f>
        <v/>
      </c>
      <c r="Q1403" s="55" t="str">
        <f>IF(AND($M1403=$O$7,$B1403&lt;'111'!$N$11),"x","")</f>
        <v/>
      </c>
      <c r="R1403" s="55" t="str">
        <f>IF(ISERROR(FIND('112'!$M$9,G1403,1)),"",IF((AND(FIND('112'!$M$9,G1403,1)&gt;=1,$B1403&gt;='112'!$N$8,$B1403&lt;='112'!$O$8,OR($L1403='112'!$I$6,$M1403='112'!$I$6))),"x",""))</f>
        <v/>
      </c>
      <c r="S1403" s="55" t="str">
        <f>IF(ISERROR(FIND('112'!$M$9,G1403,1)),"",IF((AND(LEFT(G1403,2)=LEFT('112'!$M$9,2),B1403&lt;'112'!$N$8,$L1403='112'!$I$6)),"x",""))</f>
        <v/>
      </c>
      <c r="T1403" s="55" t="str">
        <f>IF(ISERROR(FIND('112'!$M$9,G1403,1)),"",IF((AND(RIGHT(G1403,2)=RIGHT('112'!$M$9,2),B1403&lt;'112'!$N$8,$M1403='112'!$I$6)),"x",""))</f>
        <v/>
      </c>
      <c r="U1403" s="55" t="str">
        <f>IF(AND('3411-CT'!$F$9=H1403,OR(LEFT(L1403,3)=$U$7,LEFT(M1403,3)=$U$7)),"x","")</f>
        <v/>
      </c>
      <c r="V1403" s="55" t="str">
        <f>IF(OR(TH!L1403=TH!$V$7,M1403=TH!$V$7),"x","")</f>
        <v/>
      </c>
      <c r="W1403" s="55" t="str">
        <f>IF(AND(OR(L1403="131",M1403="131"),H1403='131-CT'!$E$7),"x","")</f>
        <v/>
      </c>
      <c r="X1403" s="55" t="str">
        <f>IF(AND(B1403&gt;='IN-NX'!$P$3,B1403&lt;='IN-NX'!$Q$3,'IN-NX'!$D$7=D1403,OR(LEFT(TH!L1403,2)="15",LEFT(TH!M1403,2)="15")),"x","")</f>
        <v/>
      </c>
      <c r="Y1403" s="55" t="str">
        <f>IF(AND(OR(LEFT(TH!L1403,2)="15",LEFT(TH!M1403,2)="15"),'152-CT'!$J$8=TH!F1403),"x","")</f>
        <v/>
      </c>
      <c r="Z1403" s="55" t="str">
        <f>IF(AND(OR(LEFT(TH!L1403,2)="15",LEFT(TH!M1403,2)="15"),TK!$E$7=TH!F1403),"x","")</f>
        <v/>
      </c>
      <c r="AA1403" s="55" t="str">
        <f>IF(AND(B1403&lt;=NKC!$N$8,B1403&gt;=NKC!$M$8),"x","")</f>
        <v/>
      </c>
    </row>
    <row r="1404" spans="1:27" s="226" customFormat="1" ht="15.75" customHeight="1">
      <c r="A1404" s="219" t="str">
        <f>IF(B1404&lt;&gt;"",IF(AND(B1404&gt;=_TM1,B1404&lt;=_TM2,OR(TH!L1404="1111",TH!M1404="1111")),TH!D1404,""),"")</f>
        <v/>
      </c>
      <c r="B1404" s="36" t="str">
        <f t="shared" si="57"/>
        <v/>
      </c>
      <c r="C1404" s="37"/>
      <c r="D1404" s="37"/>
      <c r="E1404" s="37"/>
      <c r="F1404" s="40"/>
      <c r="G1404" s="580"/>
      <c r="H1404" s="225"/>
      <c r="I1404" s="278"/>
      <c r="J1404" s="278"/>
      <c r="K1404" s="215"/>
      <c r="L1404" s="208"/>
      <c r="M1404" s="39"/>
      <c r="N1404" s="55" t="str">
        <f>IF(AND('331-CT'!$E$7=TH!H1404,OR(L1404="331",M1404="331")),"x","")</f>
        <v/>
      </c>
      <c r="O1404" s="55" t="str">
        <f>IF(AND($B1404&gt;='111'!$N$11,$B1404&lt;='111'!$O$11,OR($L1404=$O$7,$M1404=$O$7)),"x","")</f>
        <v/>
      </c>
      <c r="P1404" s="55" t="str">
        <f>IF(AND($L1404=$O$7,$B1404&lt;'111'!$N$11),"x","")</f>
        <v/>
      </c>
      <c r="Q1404" s="55" t="str">
        <f>IF(AND($M1404=$O$7,$B1404&lt;'111'!$N$11),"x","")</f>
        <v/>
      </c>
      <c r="R1404" s="55" t="str">
        <f>IF(ISERROR(FIND('112'!$M$9,G1404,1)),"",IF((AND(FIND('112'!$M$9,G1404,1)&gt;=1,$B1404&gt;='112'!$N$8,$B1404&lt;='112'!$O$8,OR($L1404='112'!$I$6,$M1404='112'!$I$6))),"x",""))</f>
        <v/>
      </c>
      <c r="S1404" s="55" t="str">
        <f>IF(ISERROR(FIND('112'!$M$9,G1404,1)),"",IF((AND(LEFT(G1404,2)=LEFT('112'!$M$9,2),B1404&lt;'112'!$N$8,$L1404='112'!$I$6)),"x",""))</f>
        <v/>
      </c>
      <c r="T1404" s="55" t="str">
        <f>IF(ISERROR(FIND('112'!$M$9,G1404,1)),"",IF((AND(RIGHT(G1404,2)=RIGHT('112'!$M$9,2),B1404&lt;'112'!$N$8,$M1404='112'!$I$6)),"x",""))</f>
        <v/>
      </c>
      <c r="U1404" s="55" t="str">
        <f>IF(AND('3411-CT'!$F$9=H1404,OR(LEFT(L1404,3)=$U$7,LEFT(M1404,3)=$U$7)),"x","")</f>
        <v/>
      </c>
      <c r="V1404" s="55" t="str">
        <f>IF(OR(TH!L1404=TH!$V$7,M1404=TH!$V$7),"x","")</f>
        <v/>
      </c>
      <c r="W1404" s="55" t="str">
        <f>IF(AND(OR(L1404="131",M1404="131"),H1404='131-CT'!$E$7),"x","")</f>
        <v/>
      </c>
      <c r="X1404" s="55" t="str">
        <f>IF(AND(B1404&gt;='IN-NX'!$P$3,B1404&lt;='IN-NX'!$Q$3,'IN-NX'!$D$7=D1404,OR(LEFT(TH!L1404,2)="15",LEFT(TH!M1404,2)="15")),"x","")</f>
        <v/>
      </c>
      <c r="Y1404" s="55" t="str">
        <f>IF(AND(OR(LEFT(TH!L1404,2)="15",LEFT(TH!M1404,2)="15"),'152-CT'!$J$8=TH!F1404),"x","")</f>
        <v/>
      </c>
      <c r="Z1404" s="55" t="str">
        <f>IF(AND(OR(LEFT(TH!L1404,2)="15",LEFT(TH!M1404,2)="15"),TK!$E$7=TH!F1404),"x","")</f>
        <v/>
      </c>
      <c r="AA1404" s="55" t="str">
        <f>IF(AND(B1404&lt;=NKC!$N$8,B1404&gt;=NKC!$M$8),"x","")</f>
        <v/>
      </c>
    </row>
    <row r="1405" spans="1:27" s="226" customFormat="1" ht="15.75" customHeight="1">
      <c r="A1405" s="219" t="str">
        <f>IF(B1405&lt;&gt;"",IF(AND(B1405&gt;=_TM1,B1405&lt;=_TM2,OR(TH!L1405="1111",TH!M1405="1111")),TH!D1405,""),"")</f>
        <v/>
      </c>
      <c r="B1405" s="36" t="str">
        <f t="shared" si="57"/>
        <v/>
      </c>
      <c r="C1405" s="37"/>
      <c r="D1405" s="37"/>
      <c r="E1405" s="37"/>
      <c r="F1405" s="40"/>
      <c r="G1405" s="580"/>
      <c r="H1405" s="225"/>
      <c r="I1405" s="278"/>
      <c r="J1405" s="278"/>
      <c r="K1405" s="38"/>
      <c r="L1405" s="208"/>
      <c r="M1405" s="39"/>
      <c r="N1405" s="55" t="str">
        <f>IF(AND('331-CT'!$E$7=TH!H1405,OR(L1405="331",M1405="331")),"x","")</f>
        <v/>
      </c>
      <c r="O1405" s="55" t="str">
        <f>IF(AND($B1405&gt;='111'!$N$11,$B1405&lt;='111'!$O$11,OR($L1405=$O$7,$M1405=$O$7)),"x","")</f>
        <v/>
      </c>
      <c r="P1405" s="55" t="str">
        <f>IF(AND($L1405=$O$7,$B1405&lt;'111'!$N$11),"x","")</f>
        <v/>
      </c>
      <c r="Q1405" s="55" t="str">
        <f>IF(AND($M1405=$O$7,$B1405&lt;'111'!$N$11),"x","")</f>
        <v/>
      </c>
      <c r="R1405" s="55" t="str">
        <f>IF(ISERROR(FIND('112'!$M$9,G1405,1)),"",IF((AND(FIND('112'!$M$9,G1405,1)&gt;=1,$B1405&gt;='112'!$N$8,$B1405&lt;='112'!$O$8,OR($L1405='112'!$I$6,$M1405='112'!$I$6))),"x",""))</f>
        <v/>
      </c>
      <c r="S1405" s="55" t="str">
        <f>IF(ISERROR(FIND('112'!$M$9,G1405,1)),"",IF((AND(LEFT(G1405,2)=LEFT('112'!$M$9,2),B1405&lt;'112'!$N$8,$L1405='112'!$I$6)),"x",""))</f>
        <v/>
      </c>
      <c r="T1405" s="55" t="str">
        <f>IF(ISERROR(FIND('112'!$M$9,G1405,1)),"",IF((AND(RIGHT(G1405,2)=RIGHT('112'!$M$9,2),B1405&lt;'112'!$N$8,$M1405='112'!$I$6)),"x",""))</f>
        <v/>
      </c>
      <c r="U1405" s="55" t="str">
        <f>IF(AND('3411-CT'!$F$9=H1405,OR(LEFT(L1405,3)=$U$7,LEFT(M1405,3)=$U$7)),"x","")</f>
        <v/>
      </c>
      <c r="V1405" s="55" t="str">
        <f>IF(OR(TH!L1405=TH!$V$7,M1405=TH!$V$7),"x","")</f>
        <v/>
      </c>
      <c r="W1405" s="55" t="str">
        <f>IF(AND(OR(L1405="131",M1405="131"),H1405='131-CT'!$E$7),"x","")</f>
        <v/>
      </c>
      <c r="X1405" s="55" t="str">
        <f>IF(AND(B1405&gt;='IN-NX'!$P$3,B1405&lt;='IN-NX'!$Q$3,'IN-NX'!$D$7=D1405,OR(LEFT(TH!L1405,2)="15",LEFT(TH!M1405,2)="15")),"x","")</f>
        <v/>
      </c>
      <c r="Y1405" s="55" t="str">
        <f>IF(AND(OR(LEFT(TH!L1405,2)="15",LEFT(TH!M1405,2)="15"),'152-CT'!$J$8=TH!F1405),"x","")</f>
        <v/>
      </c>
      <c r="Z1405" s="55" t="str">
        <f>IF(AND(OR(LEFT(TH!L1405,2)="15",LEFT(TH!M1405,2)="15"),TK!$E$7=TH!F1405),"x","")</f>
        <v/>
      </c>
      <c r="AA1405" s="55" t="str">
        <f>IF(AND(B1405&lt;=NKC!$N$8,B1405&gt;=NKC!$M$8),"x","")</f>
        <v/>
      </c>
    </row>
    <row r="1406" spans="1:27" s="226" customFormat="1" ht="15.75" customHeight="1">
      <c r="A1406" s="219" t="str">
        <f>IF(B1406&lt;&gt;"",IF(AND(B1406&gt;=_TM1,B1406&lt;=_TM2,OR(TH!L1406="1111",TH!M1406="1111")),TH!D1406,""),"")</f>
        <v/>
      </c>
      <c r="B1406" s="36" t="str">
        <f t="shared" si="57"/>
        <v/>
      </c>
      <c r="C1406" s="37"/>
      <c r="D1406" s="37"/>
      <c r="E1406" s="37"/>
      <c r="F1406" s="40"/>
      <c r="G1406" s="580"/>
      <c r="H1406" s="45"/>
      <c r="I1406" s="277"/>
      <c r="J1406" s="277"/>
      <c r="K1406" s="38"/>
      <c r="L1406" s="39"/>
      <c r="M1406" s="39"/>
      <c r="N1406" s="55" t="str">
        <f>IF(AND('331-CT'!$E$7=TH!H1406,OR(L1406="331",M1406="331")),"x","")</f>
        <v/>
      </c>
      <c r="O1406" s="55" t="str">
        <f>IF(AND($B1406&gt;='111'!$N$11,$B1406&lt;='111'!$O$11,OR($L1406=$O$7,$M1406=$O$7)),"x","")</f>
        <v/>
      </c>
      <c r="P1406" s="55" t="str">
        <f>IF(AND($L1406=$O$7,$B1406&lt;'111'!$N$11),"x","")</f>
        <v/>
      </c>
      <c r="Q1406" s="55" t="str">
        <f>IF(AND($M1406=$O$7,$B1406&lt;'111'!$N$11),"x","")</f>
        <v/>
      </c>
      <c r="R1406" s="55" t="str">
        <f>IF(ISERROR(FIND('112'!$M$9,G1406,1)),"",IF((AND(FIND('112'!$M$9,G1406,1)&gt;=1,$B1406&gt;='112'!$N$8,$B1406&lt;='112'!$O$8,OR($L1406='112'!$I$6,$M1406='112'!$I$6))),"x",""))</f>
        <v/>
      </c>
      <c r="S1406" s="55" t="str">
        <f>IF(ISERROR(FIND('112'!$M$9,G1406,1)),"",IF((AND(LEFT(G1406,2)=LEFT('112'!$M$9,2),B1406&lt;'112'!$N$8,$L1406='112'!$I$6)),"x",""))</f>
        <v/>
      </c>
      <c r="T1406" s="55" t="str">
        <f>IF(ISERROR(FIND('112'!$M$9,G1406,1)),"",IF((AND(RIGHT(G1406,2)=RIGHT('112'!$M$9,2),B1406&lt;'112'!$N$8,$M1406='112'!$I$6)),"x",""))</f>
        <v/>
      </c>
      <c r="U1406" s="55" t="str">
        <f>IF(AND('3411-CT'!$F$9=H1406,OR(LEFT(L1406,3)=$U$7,LEFT(M1406,3)=$U$7)),"x","")</f>
        <v/>
      </c>
      <c r="V1406" s="55" t="str">
        <f>IF(OR(TH!L1406=TH!$V$7,M1406=TH!$V$7),"x","")</f>
        <v/>
      </c>
      <c r="W1406" s="55" t="str">
        <f>IF(AND(OR(L1406="131",M1406="131"),H1406='131-CT'!$E$7),"x","")</f>
        <v/>
      </c>
      <c r="X1406" s="55" t="str">
        <f>IF(AND(B1406&gt;='IN-NX'!$P$3,B1406&lt;='IN-NX'!$Q$3,'IN-NX'!$D$7=D1406,OR(LEFT(TH!L1406,2)="15",LEFT(TH!M1406,2)="15")),"x","")</f>
        <v/>
      </c>
      <c r="Y1406" s="55" t="str">
        <f>IF(AND(OR(LEFT(TH!L1406,2)="15",LEFT(TH!M1406,2)="15"),'152-CT'!$J$8=TH!F1406),"x","")</f>
        <v/>
      </c>
      <c r="Z1406" s="55" t="str">
        <f>IF(AND(OR(LEFT(TH!L1406,2)="15",LEFT(TH!M1406,2)="15"),TK!$E$7=TH!F1406),"x","")</f>
        <v/>
      </c>
      <c r="AA1406" s="55" t="str">
        <f>IF(AND(B1406&lt;=NKC!$N$8,B1406&gt;=NKC!$M$8),"x","")</f>
        <v/>
      </c>
    </row>
    <row r="1407" spans="1:27" s="226" customFormat="1" ht="15.75" customHeight="1">
      <c r="A1407" s="219" t="str">
        <f>IF(B1407&lt;&gt;"",IF(AND(B1407&gt;=_TM1,B1407&lt;=_TM2,OR(TH!L1407="1111",TH!M1407="1111")),TH!D1407,""),"")</f>
        <v/>
      </c>
      <c r="B1407" s="36" t="str">
        <f t="shared" si="57"/>
        <v/>
      </c>
      <c r="C1407" s="37"/>
      <c r="D1407" s="37"/>
      <c r="E1407" s="37"/>
      <c r="F1407" s="40"/>
      <c r="G1407" s="580"/>
      <c r="H1407" s="45"/>
      <c r="I1407" s="277"/>
      <c r="J1407" s="277"/>
      <c r="K1407" s="38"/>
      <c r="L1407" s="39"/>
      <c r="M1407" s="39"/>
      <c r="N1407" s="55" t="str">
        <f>IF(AND('331-CT'!$E$7=TH!H1407,OR(L1407="331",M1407="331")),"x","")</f>
        <v/>
      </c>
      <c r="O1407" s="55" t="str">
        <f>IF(AND($B1407&gt;='111'!$N$11,$B1407&lt;='111'!$O$11,OR($L1407=$O$7,$M1407=$O$7)),"x","")</f>
        <v/>
      </c>
      <c r="P1407" s="55" t="str">
        <f>IF(AND($L1407=$O$7,$B1407&lt;'111'!$N$11),"x","")</f>
        <v/>
      </c>
      <c r="Q1407" s="55" t="str">
        <f>IF(AND($M1407=$O$7,$B1407&lt;'111'!$N$11),"x","")</f>
        <v/>
      </c>
      <c r="R1407" s="55" t="str">
        <f>IF(ISERROR(FIND('112'!$M$9,G1407,1)),"",IF((AND(FIND('112'!$M$9,G1407,1)&gt;=1,$B1407&gt;='112'!$N$8,$B1407&lt;='112'!$O$8,OR($L1407='112'!$I$6,$M1407='112'!$I$6))),"x",""))</f>
        <v/>
      </c>
      <c r="S1407" s="55" t="str">
        <f>IF(ISERROR(FIND('112'!$M$9,G1407,1)),"",IF((AND(LEFT(G1407,2)=LEFT('112'!$M$9,2),B1407&lt;'112'!$N$8,$L1407='112'!$I$6)),"x",""))</f>
        <v/>
      </c>
      <c r="T1407" s="55" t="str">
        <f>IF(ISERROR(FIND('112'!$M$9,G1407,1)),"",IF((AND(RIGHT(G1407,2)=RIGHT('112'!$M$9,2),B1407&lt;'112'!$N$8,$M1407='112'!$I$6)),"x",""))</f>
        <v/>
      </c>
      <c r="U1407" s="55" t="str">
        <f>IF(AND('3411-CT'!$F$9=H1407,OR(LEFT(L1407,3)=$U$7,LEFT(M1407,3)=$U$7)),"x","")</f>
        <v/>
      </c>
      <c r="V1407" s="55" t="str">
        <f>IF(OR(TH!L1407=TH!$V$7,M1407=TH!$V$7),"x","")</f>
        <v/>
      </c>
      <c r="W1407" s="55" t="str">
        <f>IF(AND(OR(L1407="131",M1407="131"),H1407='131-CT'!$E$7),"x","")</f>
        <v/>
      </c>
      <c r="X1407" s="55" t="str">
        <f>IF(AND(B1407&gt;='IN-NX'!$P$3,B1407&lt;='IN-NX'!$Q$3,'IN-NX'!$D$7=D1407,OR(LEFT(TH!L1407,2)="15",LEFT(TH!M1407,2)="15")),"x","")</f>
        <v/>
      </c>
      <c r="Y1407" s="55" t="str">
        <f>IF(AND(OR(LEFT(TH!L1407,2)="15",LEFT(TH!M1407,2)="15"),'152-CT'!$J$8=TH!F1407),"x","")</f>
        <v/>
      </c>
      <c r="Z1407" s="55" t="str">
        <f>IF(AND(OR(LEFT(TH!L1407,2)="15",LEFT(TH!M1407,2)="15"),TK!$E$7=TH!F1407),"x","")</f>
        <v/>
      </c>
      <c r="AA1407" s="55" t="str">
        <f>IF(AND(B1407&lt;=NKC!$N$8,B1407&gt;=NKC!$M$8),"x","")</f>
        <v/>
      </c>
    </row>
    <row r="1408" spans="1:27" s="226" customFormat="1" ht="15.75" customHeight="1">
      <c r="A1408" s="219" t="str">
        <f>IF(B1408&lt;&gt;"",IF(AND(B1408&gt;=_TM1,B1408&lt;=_TM2,OR(TH!L1408="1111",TH!M1408="1111")),TH!D1408,""),"")</f>
        <v/>
      </c>
      <c r="B1408" s="36" t="str">
        <f t="shared" si="57"/>
        <v/>
      </c>
      <c r="C1408" s="37"/>
      <c r="D1408" s="37"/>
      <c r="E1408" s="37"/>
      <c r="F1408" s="40"/>
      <c r="G1408" s="580"/>
      <c r="H1408" s="45"/>
      <c r="I1408" s="277"/>
      <c r="J1408" s="277"/>
      <c r="K1408" s="38"/>
      <c r="L1408" s="39"/>
      <c r="M1408" s="39"/>
      <c r="N1408" s="55" t="str">
        <f>IF(AND('331-CT'!$E$7=TH!H1408,OR(L1408="331",M1408="331")),"x","")</f>
        <v/>
      </c>
      <c r="O1408" s="55" t="str">
        <f>IF(AND($B1408&gt;='111'!$N$11,$B1408&lt;='111'!$O$11,OR($L1408=$O$7,$M1408=$O$7)),"x","")</f>
        <v/>
      </c>
      <c r="P1408" s="55" t="str">
        <f>IF(AND($L1408=$O$7,$B1408&lt;'111'!$N$11),"x","")</f>
        <v/>
      </c>
      <c r="Q1408" s="55" t="str">
        <f>IF(AND($M1408=$O$7,$B1408&lt;'111'!$N$11),"x","")</f>
        <v/>
      </c>
      <c r="R1408" s="55" t="str">
        <f>IF(ISERROR(FIND('112'!$M$9,G1408,1)),"",IF((AND(FIND('112'!$M$9,G1408,1)&gt;=1,$B1408&gt;='112'!$N$8,$B1408&lt;='112'!$O$8,OR($L1408='112'!$I$6,$M1408='112'!$I$6))),"x",""))</f>
        <v/>
      </c>
      <c r="S1408" s="55" t="str">
        <f>IF(ISERROR(FIND('112'!$M$9,G1408,1)),"",IF((AND(LEFT(G1408,2)=LEFT('112'!$M$9,2),B1408&lt;'112'!$N$8,$L1408='112'!$I$6)),"x",""))</f>
        <v/>
      </c>
      <c r="T1408" s="55" t="str">
        <f>IF(ISERROR(FIND('112'!$M$9,G1408,1)),"",IF((AND(RIGHT(G1408,2)=RIGHT('112'!$M$9,2),B1408&lt;'112'!$N$8,$M1408='112'!$I$6)),"x",""))</f>
        <v/>
      </c>
      <c r="U1408" s="55" t="str">
        <f>IF(AND('3411-CT'!$F$9=H1408,OR(LEFT(L1408,3)=$U$7,LEFT(M1408,3)=$U$7)),"x","")</f>
        <v/>
      </c>
      <c r="V1408" s="55" t="str">
        <f>IF(OR(TH!L1408=TH!$V$7,M1408=TH!$V$7),"x","")</f>
        <v/>
      </c>
      <c r="W1408" s="55" t="str">
        <f>IF(AND(OR(L1408="131",M1408="131"),H1408='131-CT'!$E$7),"x","")</f>
        <v/>
      </c>
      <c r="X1408" s="55" t="str">
        <f>IF(AND(B1408&gt;='IN-NX'!$P$3,B1408&lt;='IN-NX'!$Q$3,'IN-NX'!$D$7=D1408,OR(LEFT(TH!L1408,2)="15",LEFT(TH!M1408,2)="15")),"x","")</f>
        <v/>
      </c>
      <c r="Y1408" s="55" t="str">
        <f>IF(AND(OR(LEFT(TH!L1408,2)="15",LEFT(TH!M1408,2)="15"),'152-CT'!$J$8=TH!F1408),"x","")</f>
        <v/>
      </c>
      <c r="Z1408" s="55" t="str">
        <f>IF(AND(OR(LEFT(TH!L1408,2)="15",LEFT(TH!M1408,2)="15"),TK!$E$7=TH!F1408),"x","")</f>
        <v/>
      </c>
      <c r="AA1408" s="55" t="str">
        <f>IF(AND(B1408&lt;=NKC!$N$8,B1408&gt;=NKC!$M$8),"x","")</f>
        <v/>
      </c>
    </row>
    <row r="1409" spans="1:27" s="226" customFormat="1" ht="15.75" customHeight="1">
      <c r="A1409" s="219" t="str">
        <f>IF(B1409&lt;&gt;"",IF(AND(B1409&gt;=_TM1,B1409&lt;=_TM2,OR(TH!L1409="1111",TH!M1409="1111")),TH!D1409,""),"")</f>
        <v/>
      </c>
      <c r="B1409" s="36" t="str">
        <f t="shared" si="57"/>
        <v/>
      </c>
      <c r="C1409" s="37"/>
      <c r="D1409" s="37"/>
      <c r="E1409" s="205"/>
      <c r="F1409" s="206"/>
      <c r="G1409" s="40"/>
      <c r="H1409" s="45"/>
      <c r="I1409" s="277"/>
      <c r="J1409" s="277"/>
      <c r="K1409" s="38"/>
      <c r="L1409" s="208"/>
      <c r="M1409" s="208"/>
      <c r="N1409" s="55" t="str">
        <f>IF(AND('331-CT'!$E$7=TH!H1409,OR(L1409="331",M1409="331")),"x","")</f>
        <v/>
      </c>
      <c r="O1409" s="55" t="str">
        <f>IF(AND($B1409&gt;='111'!$N$11,$B1409&lt;='111'!$O$11,OR($L1409=$O$7,$M1409=$O$7)),"x","")</f>
        <v/>
      </c>
      <c r="P1409" s="55" t="str">
        <f>IF(AND($L1409=$O$7,$B1409&lt;'111'!$N$11),"x","")</f>
        <v/>
      </c>
      <c r="Q1409" s="55" t="str">
        <f>IF(AND($M1409=$O$7,$B1409&lt;'111'!$N$11),"x","")</f>
        <v/>
      </c>
      <c r="R1409" s="55" t="str">
        <f>IF(ISERROR(FIND('112'!$M$9,G1409,1)),"",IF((AND(FIND('112'!$M$9,G1409,1)&gt;=1,$B1409&gt;='112'!$N$8,$B1409&lt;='112'!$O$8,OR($L1409='112'!$I$6,$M1409='112'!$I$6))),"x",""))</f>
        <v/>
      </c>
      <c r="S1409" s="55" t="str">
        <f>IF(ISERROR(FIND('112'!$M$9,G1409,1)),"",IF((AND(LEFT(G1409,2)=LEFT('112'!$M$9,2),B1409&lt;'112'!$N$8,$L1409='112'!$I$6)),"x",""))</f>
        <v/>
      </c>
      <c r="T1409" s="55" t="str">
        <f>IF(ISERROR(FIND('112'!$M$9,G1409,1)),"",IF((AND(RIGHT(G1409,2)=RIGHT('112'!$M$9,2),B1409&lt;'112'!$N$8,$M1409='112'!$I$6)),"x",""))</f>
        <v/>
      </c>
      <c r="U1409" s="55" t="str">
        <f>IF(AND('3411-CT'!$F$9=H1409,OR(LEFT(L1409,3)=$U$7,LEFT(M1409,3)=$U$7)),"x","")</f>
        <v/>
      </c>
      <c r="V1409" s="55" t="str">
        <f>IF(OR(TH!L1409=TH!$V$7,M1409=TH!$V$7),"x","")</f>
        <v/>
      </c>
      <c r="W1409" s="55" t="str">
        <f>IF(AND(OR(L1409="131",M1409="131"),H1409='131-CT'!$E$7),"x","")</f>
        <v/>
      </c>
      <c r="X1409" s="55" t="str">
        <f>IF(AND(B1409&gt;='IN-NX'!$P$3,B1409&lt;='IN-NX'!$Q$3,'IN-NX'!$D$7=D1409,OR(LEFT(TH!L1409,2)="15",LEFT(TH!M1409,2)="15")),"x","")</f>
        <v/>
      </c>
      <c r="Y1409" s="55" t="str">
        <f>IF(AND(OR(LEFT(TH!L1409,2)="15",LEFT(TH!M1409,2)="15"),'152-CT'!$J$8=TH!F1409),"x","")</f>
        <v/>
      </c>
      <c r="Z1409" s="55" t="str">
        <f>IF(AND(OR(LEFT(TH!L1409,2)="15",LEFT(TH!M1409,2)="15"),TK!$E$7=TH!F1409),"x","")</f>
        <v/>
      </c>
      <c r="AA1409" s="55" t="str">
        <f>IF(AND(B1409&lt;=NKC!$N$8,B1409&gt;=NKC!$M$8),"x","")</f>
        <v/>
      </c>
    </row>
    <row r="1410" spans="1:27" ht="15.75" customHeight="1">
      <c r="A1410" s="219" t="str">
        <f>IF(B1410&lt;&gt;"",IF(AND(B1410&gt;=_TM1,B1410&lt;=_TM2,OR(TH!L1410="1111",TH!M1410="1111")),TH!D1410,""),"")</f>
        <v/>
      </c>
      <c r="B1410" s="36" t="str">
        <f t="shared" si="57"/>
        <v/>
      </c>
      <c r="C1410" s="37"/>
      <c r="D1410" s="205"/>
      <c r="E1410" s="205"/>
      <c r="F1410" s="206"/>
      <c r="G1410" s="206"/>
      <c r="H1410" s="207"/>
      <c r="I1410" s="277"/>
      <c r="J1410" s="277"/>
      <c r="K1410" s="38"/>
      <c r="L1410" s="208"/>
      <c r="M1410" s="208"/>
      <c r="N1410" s="55" t="str">
        <f>IF(AND('331-CT'!$E$7=TH!H1410,OR(L1410="331",M1410="331")),"x","")</f>
        <v/>
      </c>
      <c r="O1410" s="55" t="str">
        <f>IF(AND($B1410&gt;='111'!$N$11,$B1410&lt;='111'!$O$11,OR($L1410=$O$7,$M1410=$O$7)),"x","")</f>
        <v/>
      </c>
      <c r="P1410" s="55" t="str">
        <f>IF(AND($L1410=$O$7,$B1410&lt;'111'!$N$11),"x","")</f>
        <v/>
      </c>
      <c r="Q1410" s="55" t="str">
        <f>IF(AND($M1410=$O$7,$B1410&lt;'111'!$N$11),"x","")</f>
        <v/>
      </c>
      <c r="R1410" s="55" t="str">
        <f>IF(ISERROR(FIND('112'!$M$9,G1410,1)),"",IF((AND(FIND('112'!$M$9,G1410,1)&gt;=1,$B1410&gt;='112'!$N$8,$B1410&lt;='112'!$O$8,OR($L1410='112'!$I$6,$M1410='112'!$I$6))),"x",""))</f>
        <v/>
      </c>
      <c r="S1410" s="55" t="str">
        <f>IF(ISERROR(FIND('112'!$M$9,G1410,1)),"",IF((AND(LEFT(G1410,2)=LEFT('112'!$M$9,2),B1410&lt;'112'!$N$8,$L1410='112'!$I$6)),"x",""))</f>
        <v/>
      </c>
      <c r="T1410" s="55" t="str">
        <f>IF(ISERROR(FIND('112'!$M$9,G1410,1)),"",IF((AND(RIGHT(G1410,2)=RIGHT('112'!$M$9,2),B1410&lt;'112'!$N$8,$M1410='112'!$I$6)),"x",""))</f>
        <v/>
      </c>
      <c r="U1410" s="55" t="str">
        <f>IF(AND('3411-CT'!$F$9=H1410,OR(LEFT(L1410,3)=$U$7,LEFT(M1410,3)=$U$7)),"x","")</f>
        <v/>
      </c>
      <c r="V1410" s="55" t="str">
        <f>IF(OR(TH!L1410=TH!$V$7,M1410=TH!$V$7),"x","")</f>
        <v/>
      </c>
      <c r="W1410" s="55" t="str">
        <f>IF(AND(OR(L1410="131",M1410="131"),H1410='131-CT'!$E$7),"x","")</f>
        <v/>
      </c>
      <c r="X1410" s="55" t="str">
        <f>IF(AND(B1410&gt;='IN-NX'!$P$3,B1410&lt;='IN-NX'!$Q$3,'IN-NX'!$D$7=D1410,OR(LEFT(TH!L1410,2)="15",LEFT(TH!M1410,2)="15")),"x","")</f>
        <v/>
      </c>
      <c r="Y1410" s="55" t="str">
        <f>IF(AND(OR(LEFT(TH!L1410,2)="15",LEFT(TH!M1410,2)="15"),'152-CT'!$J$8=TH!F1410),"x","")</f>
        <v/>
      </c>
      <c r="Z1410" s="55" t="str">
        <f>IF(AND(OR(LEFT(TH!L1410,2)="15",LEFT(TH!M1410,2)="15"),TK!$E$7=TH!F1410),"x","")</f>
        <v/>
      </c>
      <c r="AA1410" s="55" t="str">
        <f>IF(AND(B1410&lt;=NKC!$N$8,B1410&gt;=NKC!$M$8),"x","")</f>
        <v/>
      </c>
    </row>
    <row r="1411" spans="1:27" ht="15.75" customHeight="1">
      <c r="A1411" s="219" t="str">
        <f>IF(B1411&lt;&gt;"",IF(AND(B1411&gt;=_TM1,B1411&lt;=_TM2,OR(TH!L1411="1111",TH!M1411="1111")),TH!D1411,""),"")</f>
        <v/>
      </c>
      <c r="B1411" s="36" t="str">
        <f t="shared" si="57"/>
        <v/>
      </c>
      <c r="C1411" s="37"/>
      <c r="D1411" s="205"/>
      <c r="E1411" s="205"/>
      <c r="F1411" s="206"/>
      <c r="G1411" s="206"/>
      <c r="H1411" s="207"/>
      <c r="I1411" s="277"/>
      <c r="J1411" s="277"/>
      <c r="K1411" s="38"/>
      <c r="L1411" s="208"/>
      <c r="M1411" s="208"/>
      <c r="N1411" s="55" t="str">
        <f>IF(AND('331-CT'!$E$7=TH!H1411,OR(L1411="331",M1411="331")),"x","")</f>
        <v/>
      </c>
      <c r="O1411" s="55" t="str">
        <f>IF(AND($B1411&gt;='111'!$N$11,$B1411&lt;='111'!$O$11,OR($L1411=$O$7,$M1411=$O$7)),"x","")</f>
        <v/>
      </c>
      <c r="P1411" s="55" t="str">
        <f>IF(AND($L1411=$O$7,$B1411&lt;'111'!$N$11),"x","")</f>
        <v/>
      </c>
      <c r="Q1411" s="55" t="str">
        <f>IF(AND($M1411=$O$7,$B1411&lt;'111'!$N$11),"x","")</f>
        <v/>
      </c>
      <c r="R1411" s="55" t="str">
        <f>IF(ISERROR(FIND('112'!$M$9,G1411,1)),"",IF((AND(FIND('112'!$M$9,G1411,1)&gt;=1,$B1411&gt;='112'!$N$8,$B1411&lt;='112'!$O$8,OR($L1411='112'!$I$6,$M1411='112'!$I$6))),"x",""))</f>
        <v/>
      </c>
      <c r="S1411" s="55" t="str">
        <f>IF(ISERROR(FIND('112'!$M$9,G1411,1)),"",IF((AND(LEFT(G1411,2)=LEFT('112'!$M$9,2),B1411&lt;'112'!$N$8,$L1411='112'!$I$6)),"x",""))</f>
        <v/>
      </c>
      <c r="T1411" s="55" t="str">
        <f>IF(ISERROR(FIND('112'!$M$9,G1411,1)),"",IF((AND(RIGHT(G1411,2)=RIGHT('112'!$M$9,2),B1411&lt;'112'!$N$8,$M1411='112'!$I$6)),"x",""))</f>
        <v/>
      </c>
      <c r="U1411" s="55" t="str">
        <f>IF(AND('3411-CT'!$F$9=H1411,OR(LEFT(L1411,3)=$U$7,LEFT(M1411,3)=$U$7)),"x","")</f>
        <v/>
      </c>
      <c r="V1411" s="55" t="str">
        <f>IF(OR(TH!L1411=TH!$V$7,M1411=TH!$V$7),"x","")</f>
        <v/>
      </c>
      <c r="W1411" s="55" t="str">
        <f>IF(AND(OR(L1411="131",M1411="131"),H1411='131-CT'!$E$7),"x","")</f>
        <v/>
      </c>
      <c r="X1411" s="55" t="str">
        <f>IF(AND(B1411&gt;='IN-NX'!$P$3,B1411&lt;='IN-NX'!$Q$3,'IN-NX'!$D$7=D1411,OR(LEFT(TH!L1411,2)="15",LEFT(TH!M1411,2)="15")),"x","")</f>
        <v/>
      </c>
      <c r="Y1411" s="55" t="str">
        <f>IF(AND(OR(LEFT(TH!L1411,2)="15",LEFT(TH!M1411,2)="15"),'152-CT'!$J$8=TH!F1411),"x","")</f>
        <v/>
      </c>
      <c r="Z1411" s="55" t="str">
        <f>IF(AND(OR(LEFT(TH!L1411,2)="15",LEFT(TH!M1411,2)="15"),TK!$E$7=TH!F1411),"x","")</f>
        <v/>
      </c>
      <c r="AA1411" s="55" t="str">
        <f>IF(AND(B1411&lt;=NKC!$N$8,B1411&gt;=NKC!$M$8),"x","")</f>
        <v/>
      </c>
    </row>
    <row r="1412" spans="1:27" ht="15.75" customHeight="1">
      <c r="A1412" s="219" t="str">
        <f>IF(B1412&lt;&gt;"",IF(AND(B1412&gt;=_TM1,B1412&lt;=_TM2,OR(TH!L1412="1111",TH!M1412="1111")),TH!D1412,""),"")</f>
        <v/>
      </c>
      <c r="B1412" s="36" t="str">
        <f t="shared" si="57"/>
        <v/>
      </c>
      <c r="C1412" s="37"/>
      <c r="D1412" s="205"/>
      <c r="E1412" s="205"/>
      <c r="F1412" s="206"/>
      <c r="G1412" s="206"/>
      <c r="H1412" s="207"/>
      <c r="I1412" s="277"/>
      <c r="J1412" s="277"/>
      <c r="K1412" s="38"/>
      <c r="L1412" s="208"/>
      <c r="M1412" s="208"/>
      <c r="N1412" s="55" t="str">
        <f>IF(AND('331-CT'!$E$7=TH!H1412,OR(L1412="331",M1412="331")),"x","")</f>
        <v/>
      </c>
      <c r="O1412" s="55" t="str">
        <f>IF(AND($B1412&gt;='111'!$N$11,$B1412&lt;='111'!$O$11,OR($L1412=$O$7,$M1412=$O$7)),"x","")</f>
        <v/>
      </c>
      <c r="P1412" s="55" t="str">
        <f>IF(AND($L1412=$O$7,$B1412&lt;'111'!$N$11),"x","")</f>
        <v/>
      </c>
      <c r="Q1412" s="55" t="str">
        <f>IF(AND($M1412=$O$7,$B1412&lt;'111'!$N$11),"x","")</f>
        <v/>
      </c>
      <c r="R1412" s="55" t="str">
        <f>IF(ISERROR(FIND('112'!$M$9,G1412,1)),"",IF((AND(FIND('112'!$M$9,G1412,1)&gt;=1,$B1412&gt;='112'!$N$8,$B1412&lt;='112'!$O$8,OR($L1412='112'!$I$6,$M1412='112'!$I$6))),"x",""))</f>
        <v/>
      </c>
      <c r="S1412" s="55" t="str">
        <f>IF(ISERROR(FIND('112'!$M$9,G1412,1)),"",IF((AND(LEFT(G1412,2)=LEFT('112'!$M$9,2),B1412&lt;'112'!$N$8,$L1412='112'!$I$6)),"x",""))</f>
        <v/>
      </c>
      <c r="T1412" s="55" t="str">
        <f>IF(ISERROR(FIND('112'!$M$9,G1412,1)),"",IF((AND(RIGHT(G1412,2)=RIGHT('112'!$M$9,2),B1412&lt;'112'!$N$8,$M1412='112'!$I$6)),"x",""))</f>
        <v/>
      </c>
      <c r="U1412" s="55" t="str">
        <f>IF(AND('3411-CT'!$F$9=H1412,OR(LEFT(L1412,3)=$U$7,LEFT(M1412,3)=$U$7)),"x","")</f>
        <v/>
      </c>
      <c r="V1412" s="55" t="str">
        <f>IF(OR(TH!L1412=TH!$V$7,M1412=TH!$V$7),"x","")</f>
        <v/>
      </c>
      <c r="W1412" s="55" t="str">
        <f>IF(AND(OR(L1412="131",M1412="131"),H1412='131-CT'!$E$7),"x","")</f>
        <v/>
      </c>
      <c r="X1412" s="55" t="str">
        <f>IF(AND(B1412&gt;='IN-NX'!$P$3,B1412&lt;='IN-NX'!$Q$3,'IN-NX'!$D$7=D1412,OR(LEFT(TH!L1412,2)="15",LEFT(TH!M1412,2)="15")),"x","")</f>
        <v/>
      </c>
      <c r="Y1412" s="55" t="str">
        <f>IF(AND(OR(LEFT(TH!L1412,2)="15",LEFT(TH!M1412,2)="15"),'152-CT'!$J$8=TH!F1412),"x","")</f>
        <v/>
      </c>
      <c r="Z1412" s="55" t="str">
        <f>IF(AND(OR(LEFT(TH!L1412,2)="15",LEFT(TH!M1412,2)="15"),TK!$E$7=TH!F1412),"x","")</f>
        <v/>
      </c>
      <c r="AA1412" s="55" t="str">
        <f>IF(AND(B1412&lt;=NKC!$N$8,B1412&gt;=NKC!$M$8),"x","")</f>
        <v/>
      </c>
    </row>
    <row r="1413" spans="1:27" ht="15.75" customHeight="1">
      <c r="A1413" s="219" t="str">
        <f>IF(B1413&lt;&gt;"",IF(AND(B1413&gt;=_TM1,B1413&lt;=_TM2,OR(TH!L1413="1111",TH!M1413="1111")),TH!D1413,""),"")</f>
        <v/>
      </c>
      <c r="B1413" s="36" t="str">
        <f t="shared" si="57"/>
        <v/>
      </c>
      <c r="C1413" s="37"/>
      <c r="D1413" s="205"/>
      <c r="E1413" s="205"/>
      <c r="F1413" s="206"/>
      <c r="G1413" s="206"/>
      <c r="H1413" s="207"/>
      <c r="I1413" s="277"/>
      <c r="J1413" s="277"/>
      <c r="K1413" s="38"/>
      <c r="L1413" s="208"/>
      <c r="M1413" s="208"/>
      <c r="N1413" s="55" t="str">
        <f>IF(AND('331-CT'!$E$7=TH!H1413,OR(L1413="331",M1413="331")),"x","")</f>
        <v/>
      </c>
      <c r="O1413" s="55" t="str">
        <f>IF(AND($B1413&gt;='111'!$N$11,$B1413&lt;='111'!$O$11,OR($L1413=$O$7,$M1413=$O$7)),"x","")</f>
        <v/>
      </c>
      <c r="P1413" s="55" t="str">
        <f>IF(AND($L1413=$O$7,$B1413&lt;'111'!$N$11),"x","")</f>
        <v/>
      </c>
      <c r="Q1413" s="55" t="str">
        <f>IF(AND($M1413=$O$7,$B1413&lt;'111'!$N$11),"x","")</f>
        <v/>
      </c>
      <c r="R1413" s="55" t="str">
        <f>IF(ISERROR(FIND('112'!$M$9,G1413,1)),"",IF((AND(FIND('112'!$M$9,G1413,1)&gt;=1,$B1413&gt;='112'!$N$8,$B1413&lt;='112'!$O$8,OR($L1413='112'!$I$6,$M1413='112'!$I$6))),"x",""))</f>
        <v/>
      </c>
      <c r="S1413" s="55" t="str">
        <f>IF(ISERROR(FIND('112'!$M$9,G1413,1)),"",IF((AND(LEFT(G1413,2)=LEFT('112'!$M$9,2),B1413&lt;'112'!$N$8,$L1413='112'!$I$6)),"x",""))</f>
        <v/>
      </c>
      <c r="T1413" s="55" t="str">
        <f>IF(ISERROR(FIND('112'!$M$9,G1413,1)),"",IF((AND(RIGHT(G1413,2)=RIGHT('112'!$M$9,2),B1413&lt;'112'!$N$8,$M1413='112'!$I$6)),"x",""))</f>
        <v/>
      </c>
      <c r="U1413" s="55" t="str">
        <f>IF(AND('3411-CT'!$F$9=H1413,OR(LEFT(L1413,3)=$U$7,LEFT(M1413,3)=$U$7)),"x","")</f>
        <v/>
      </c>
      <c r="V1413" s="55" t="str">
        <f>IF(OR(TH!L1413=TH!$V$7,M1413=TH!$V$7),"x","")</f>
        <v/>
      </c>
      <c r="W1413" s="55" t="str">
        <f>IF(AND(OR(L1413="131",M1413="131"),H1413='131-CT'!$E$7),"x","")</f>
        <v/>
      </c>
      <c r="X1413" s="55" t="str">
        <f>IF(AND(B1413&gt;='IN-NX'!$P$3,B1413&lt;='IN-NX'!$Q$3,'IN-NX'!$D$7=D1413,OR(LEFT(TH!L1413,2)="15",LEFT(TH!M1413,2)="15")),"x","")</f>
        <v/>
      </c>
      <c r="Y1413" s="55" t="str">
        <f>IF(AND(OR(LEFT(TH!L1413,2)="15",LEFT(TH!M1413,2)="15"),'152-CT'!$J$8=TH!F1413),"x","")</f>
        <v/>
      </c>
      <c r="Z1413" s="55" t="str">
        <f>IF(AND(OR(LEFT(TH!L1413,2)="15",LEFT(TH!M1413,2)="15"),TK!$E$7=TH!F1413),"x","")</f>
        <v/>
      </c>
      <c r="AA1413" s="55" t="str">
        <f>IF(AND(B1413&lt;=NKC!$N$8,B1413&gt;=NKC!$M$8),"x","")</f>
        <v/>
      </c>
    </row>
    <row r="1414" spans="1:27" ht="15.75" customHeight="1">
      <c r="A1414" s="219" t="str">
        <f>IF(B1414&lt;&gt;"",IF(AND(B1414&gt;=_TM1,B1414&lt;=_TM2,OR(TH!L1414="1111",TH!M1414="1111")),TH!D1414,""),"")</f>
        <v/>
      </c>
      <c r="B1414" s="36" t="str">
        <f t="shared" si="57"/>
        <v/>
      </c>
      <c r="C1414" s="37"/>
      <c r="D1414" s="205"/>
      <c r="E1414" s="205"/>
      <c r="F1414" s="206"/>
      <c r="G1414" s="206"/>
      <c r="H1414" s="207"/>
      <c r="I1414" s="277"/>
      <c r="J1414" s="277"/>
      <c r="K1414" s="38"/>
      <c r="L1414" s="208"/>
      <c r="M1414" s="208"/>
      <c r="N1414" s="55" t="str">
        <f>IF(AND('331-CT'!$E$7=TH!H1414,OR(L1414="331",M1414="331")),"x","")</f>
        <v/>
      </c>
      <c r="O1414" s="55" t="str">
        <f>IF(AND($B1414&gt;='111'!$N$11,$B1414&lt;='111'!$O$11,OR($L1414=$O$7,$M1414=$O$7)),"x","")</f>
        <v/>
      </c>
      <c r="P1414" s="55" t="str">
        <f>IF(AND($L1414=$O$7,$B1414&lt;'111'!$N$11),"x","")</f>
        <v/>
      </c>
      <c r="Q1414" s="55" t="str">
        <f>IF(AND($M1414=$O$7,$B1414&lt;'111'!$N$11),"x","")</f>
        <v/>
      </c>
      <c r="R1414" s="55" t="str">
        <f>IF(ISERROR(FIND('112'!$M$9,G1414,1)),"",IF((AND(FIND('112'!$M$9,G1414,1)&gt;=1,$B1414&gt;='112'!$N$8,$B1414&lt;='112'!$O$8,OR($L1414='112'!$I$6,$M1414='112'!$I$6))),"x",""))</f>
        <v/>
      </c>
      <c r="S1414" s="55" t="str">
        <f>IF(ISERROR(FIND('112'!$M$9,G1414,1)),"",IF((AND(LEFT(G1414,2)=LEFT('112'!$M$9,2),B1414&lt;'112'!$N$8,$L1414='112'!$I$6)),"x",""))</f>
        <v/>
      </c>
      <c r="T1414" s="55" t="str">
        <f>IF(ISERROR(FIND('112'!$M$9,G1414,1)),"",IF((AND(RIGHT(G1414,2)=RIGHT('112'!$M$9,2),B1414&lt;'112'!$N$8,$M1414='112'!$I$6)),"x",""))</f>
        <v/>
      </c>
      <c r="U1414" s="55" t="str">
        <f>IF(AND('3411-CT'!$F$9=H1414,OR(LEFT(L1414,3)=$U$7,LEFT(M1414,3)=$U$7)),"x","")</f>
        <v/>
      </c>
      <c r="V1414" s="55" t="str">
        <f>IF(OR(TH!L1414=TH!$V$7,M1414=TH!$V$7),"x","")</f>
        <v/>
      </c>
      <c r="W1414" s="55" t="str">
        <f>IF(AND(OR(L1414="131",M1414="131"),H1414='131-CT'!$E$7),"x","")</f>
        <v/>
      </c>
      <c r="X1414" s="55" t="str">
        <f>IF(AND(B1414&gt;='IN-NX'!$P$3,B1414&lt;='IN-NX'!$Q$3,'IN-NX'!$D$7=D1414,OR(LEFT(TH!L1414,2)="15",LEFT(TH!M1414,2)="15")),"x","")</f>
        <v/>
      </c>
      <c r="Y1414" s="55" t="str">
        <f>IF(AND(OR(LEFT(TH!L1414,2)="15",LEFT(TH!M1414,2)="15"),'152-CT'!$J$8=TH!F1414),"x","")</f>
        <v/>
      </c>
      <c r="Z1414" s="55" t="str">
        <f>IF(AND(OR(LEFT(TH!L1414,2)="15",LEFT(TH!M1414,2)="15"),TK!$E$7=TH!F1414),"x","")</f>
        <v/>
      </c>
      <c r="AA1414" s="55" t="str">
        <f>IF(AND(B1414&lt;=NKC!$N$8,B1414&gt;=NKC!$M$8),"x","")</f>
        <v/>
      </c>
    </row>
    <row r="1415" spans="1:27" ht="15.75" customHeight="1">
      <c r="A1415" s="219" t="str">
        <f>IF(B1415&lt;&gt;"",IF(AND(B1415&gt;=_TM1,B1415&lt;=_TM2,OR(TH!L1415="1111",TH!M1415="1111")),TH!D1415,""),"")</f>
        <v/>
      </c>
      <c r="B1415" s="36" t="str">
        <f t="shared" si="57"/>
        <v/>
      </c>
      <c r="C1415" s="37"/>
      <c r="D1415" s="205"/>
      <c r="E1415" s="205"/>
      <c r="F1415" s="206"/>
      <c r="G1415" s="206"/>
      <c r="H1415" s="207"/>
      <c r="I1415" s="277"/>
      <c r="J1415" s="277"/>
      <c r="K1415" s="38"/>
      <c r="L1415" s="208"/>
      <c r="M1415" s="208"/>
      <c r="N1415" s="55" t="str">
        <f>IF(AND('331-CT'!$E$7=TH!H1415,OR(L1415="331",M1415="331")),"x","")</f>
        <v/>
      </c>
      <c r="O1415" s="55" t="str">
        <f>IF(AND($B1415&gt;='111'!$N$11,$B1415&lt;='111'!$O$11,OR($L1415=$O$7,$M1415=$O$7)),"x","")</f>
        <v/>
      </c>
      <c r="P1415" s="55" t="str">
        <f>IF(AND($L1415=$O$7,$B1415&lt;'111'!$N$11),"x","")</f>
        <v/>
      </c>
      <c r="Q1415" s="55" t="str">
        <f>IF(AND($M1415=$O$7,$B1415&lt;'111'!$N$11),"x","")</f>
        <v/>
      </c>
      <c r="R1415" s="55" t="str">
        <f>IF(ISERROR(FIND('112'!$M$9,G1415,1)),"",IF((AND(FIND('112'!$M$9,G1415,1)&gt;=1,$B1415&gt;='112'!$N$8,$B1415&lt;='112'!$O$8,OR($L1415='112'!$I$6,$M1415='112'!$I$6))),"x",""))</f>
        <v/>
      </c>
      <c r="S1415" s="55" t="str">
        <f>IF(ISERROR(FIND('112'!$M$9,G1415,1)),"",IF((AND(LEFT(G1415,2)=LEFT('112'!$M$9,2),B1415&lt;'112'!$N$8,$L1415='112'!$I$6)),"x",""))</f>
        <v/>
      </c>
      <c r="T1415" s="55" t="str">
        <f>IF(ISERROR(FIND('112'!$M$9,G1415,1)),"",IF((AND(RIGHT(G1415,2)=RIGHT('112'!$M$9,2),B1415&lt;'112'!$N$8,$M1415='112'!$I$6)),"x",""))</f>
        <v/>
      </c>
      <c r="U1415" s="55" t="str">
        <f>IF(AND('3411-CT'!$F$9=H1415,OR(LEFT(L1415,3)=$U$7,LEFT(M1415,3)=$U$7)),"x","")</f>
        <v/>
      </c>
      <c r="V1415" s="55" t="str">
        <f>IF(OR(TH!L1415=TH!$V$7,M1415=TH!$V$7),"x","")</f>
        <v/>
      </c>
      <c r="W1415" s="55" t="str">
        <f>IF(AND(OR(L1415="131",M1415="131"),H1415='131-CT'!$E$7),"x","")</f>
        <v/>
      </c>
      <c r="X1415" s="55" t="str">
        <f>IF(AND(B1415&gt;='IN-NX'!$P$3,B1415&lt;='IN-NX'!$Q$3,'IN-NX'!$D$7=D1415,OR(LEFT(TH!L1415,2)="15",LEFT(TH!M1415,2)="15")),"x","")</f>
        <v/>
      </c>
      <c r="Y1415" s="55" t="str">
        <f>IF(AND(OR(LEFT(TH!L1415,2)="15",LEFT(TH!M1415,2)="15"),'152-CT'!$J$8=TH!F1415),"x","")</f>
        <v/>
      </c>
      <c r="Z1415" s="55" t="str">
        <f>IF(AND(OR(LEFT(TH!L1415,2)="15",LEFT(TH!M1415,2)="15"),TK!$E$7=TH!F1415),"x","")</f>
        <v/>
      </c>
      <c r="AA1415" s="55" t="str">
        <f>IF(AND(B1415&lt;=NKC!$N$8,B1415&gt;=NKC!$M$8),"x","")</f>
        <v/>
      </c>
    </row>
    <row r="1416" spans="1:27" ht="15.75" customHeight="1">
      <c r="A1416" s="219" t="str">
        <f>IF(B1416&lt;&gt;"",IF(AND(B1416&gt;=_TM1,B1416&lt;=_TM2,OR(TH!L1416="1111",TH!M1416="1111")),TH!D1416,""),"")</f>
        <v/>
      </c>
      <c r="B1416" s="36" t="str">
        <f t="shared" si="57"/>
        <v/>
      </c>
      <c r="C1416" s="37"/>
      <c r="D1416" s="205"/>
      <c r="E1416" s="205"/>
      <c r="F1416" s="206"/>
      <c r="G1416" s="206"/>
      <c r="H1416" s="207"/>
      <c r="I1416" s="277"/>
      <c r="J1416" s="277"/>
      <c r="K1416" s="38"/>
      <c r="L1416" s="208"/>
      <c r="M1416" s="208"/>
      <c r="N1416" s="55" t="str">
        <f>IF(AND('331-CT'!$E$7=TH!H1416,OR(L1416="331",M1416="331")),"x","")</f>
        <v/>
      </c>
      <c r="O1416" s="55" t="str">
        <f>IF(AND($B1416&gt;='111'!$N$11,$B1416&lt;='111'!$O$11,OR($L1416=$O$7,$M1416=$O$7)),"x","")</f>
        <v/>
      </c>
      <c r="P1416" s="55" t="str">
        <f>IF(AND($L1416=$O$7,$B1416&lt;'111'!$N$11),"x","")</f>
        <v/>
      </c>
      <c r="Q1416" s="55" t="str">
        <f>IF(AND($M1416=$O$7,$B1416&lt;'111'!$N$11),"x","")</f>
        <v/>
      </c>
      <c r="R1416" s="55" t="str">
        <f>IF(ISERROR(FIND('112'!$M$9,G1416,1)),"",IF((AND(FIND('112'!$M$9,G1416,1)&gt;=1,$B1416&gt;='112'!$N$8,$B1416&lt;='112'!$O$8,OR($L1416='112'!$I$6,$M1416='112'!$I$6))),"x",""))</f>
        <v/>
      </c>
      <c r="S1416" s="55" t="str">
        <f>IF(ISERROR(FIND('112'!$M$9,G1416,1)),"",IF((AND(LEFT(G1416,2)=LEFT('112'!$M$9,2),B1416&lt;'112'!$N$8,$L1416='112'!$I$6)),"x",""))</f>
        <v/>
      </c>
      <c r="T1416" s="55" t="str">
        <f>IF(ISERROR(FIND('112'!$M$9,G1416,1)),"",IF((AND(RIGHT(G1416,2)=RIGHT('112'!$M$9,2),B1416&lt;'112'!$N$8,$M1416='112'!$I$6)),"x",""))</f>
        <v/>
      </c>
      <c r="U1416" s="55" t="str">
        <f>IF(AND('3411-CT'!$F$9=H1416,OR(LEFT(L1416,3)=$U$7,LEFT(M1416,3)=$U$7)),"x","")</f>
        <v/>
      </c>
      <c r="V1416" s="55" t="str">
        <f>IF(OR(TH!L1416=TH!$V$7,M1416=TH!$V$7),"x","")</f>
        <v/>
      </c>
      <c r="W1416" s="55" t="str">
        <f>IF(AND(OR(L1416="131",M1416="131"),H1416='131-CT'!$E$7),"x","")</f>
        <v/>
      </c>
      <c r="X1416" s="55" t="str">
        <f>IF(AND(B1416&gt;='IN-NX'!$P$3,B1416&lt;='IN-NX'!$Q$3,'IN-NX'!$D$7=D1416,OR(LEFT(TH!L1416,2)="15",LEFT(TH!M1416,2)="15")),"x","")</f>
        <v/>
      </c>
      <c r="Y1416" s="55" t="str">
        <f>IF(AND(OR(LEFT(TH!L1416,2)="15",LEFT(TH!M1416,2)="15"),'152-CT'!$J$8=TH!F1416),"x","")</f>
        <v/>
      </c>
      <c r="Z1416" s="55" t="str">
        <f>IF(AND(OR(LEFT(TH!L1416,2)="15",LEFT(TH!M1416,2)="15"),TK!$E$7=TH!F1416),"x","")</f>
        <v/>
      </c>
      <c r="AA1416" s="55" t="str">
        <f>IF(AND(B1416&lt;=NKC!$N$8,B1416&gt;=NKC!$M$8),"x","")</f>
        <v/>
      </c>
    </row>
    <row r="1417" spans="1:27" ht="15.75" customHeight="1">
      <c r="A1417" s="219" t="str">
        <f>IF(B1417&lt;&gt;"",IF(AND(B1417&gt;=_TM1,B1417&lt;=_TM2,OR(TH!L1417="1111",TH!M1417="1111")),TH!D1417,""),"")</f>
        <v/>
      </c>
      <c r="B1417" s="36" t="str">
        <f t="shared" si="57"/>
        <v/>
      </c>
      <c r="C1417" s="37"/>
      <c r="D1417" s="37"/>
      <c r="E1417" s="37"/>
      <c r="F1417" s="40"/>
      <c r="G1417" s="580"/>
      <c r="H1417" s="45"/>
      <c r="I1417" s="277"/>
      <c r="J1417" s="277"/>
      <c r="K1417" s="38"/>
      <c r="L1417" s="208"/>
      <c r="M1417" s="39"/>
      <c r="N1417" s="55" t="str">
        <f>IF(AND('331-CT'!$E$7=TH!H1417,OR(L1417="331",M1417="331")),"x","")</f>
        <v/>
      </c>
      <c r="O1417" s="55" t="str">
        <f>IF(AND($B1417&gt;='111'!$N$11,$B1417&lt;='111'!$O$11,OR($L1417=$O$7,$M1417=$O$7)),"x","")</f>
        <v/>
      </c>
      <c r="P1417" s="55" t="str">
        <f>IF(AND($L1417=$O$7,$B1417&lt;'111'!$N$11),"x","")</f>
        <v/>
      </c>
      <c r="Q1417" s="55" t="str">
        <f>IF(AND($M1417=$O$7,$B1417&lt;'111'!$N$11),"x","")</f>
        <v/>
      </c>
      <c r="R1417" s="55" t="str">
        <f>IF(ISERROR(FIND('112'!$M$9,G1417,1)),"",IF((AND(FIND('112'!$M$9,G1417,1)&gt;=1,$B1417&gt;='112'!$N$8,$B1417&lt;='112'!$O$8,OR($L1417='112'!$I$6,$M1417='112'!$I$6))),"x",""))</f>
        <v/>
      </c>
      <c r="S1417" s="55" t="str">
        <f>IF(ISERROR(FIND('112'!$M$9,G1417,1)),"",IF((AND(LEFT(G1417,2)=LEFT('112'!$M$9,2),B1417&lt;'112'!$N$8,$L1417='112'!$I$6)),"x",""))</f>
        <v/>
      </c>
      <c r="T1417" s="55" t="str">
        <f>IF(ISERROR(FIND('112'!$M$9,G1417,1)),"",IF((AND(RIGHT(G1417,2)=RIGHT('112'!$M$9,2),B1417&lt;'112'!$N$8,$M1417='112'!$I$6)),"x",""))</f>
        <v/>
      </c>
      <c r="U1417" s="55" t="str">
        <f>IF(AND('3411-CT'!$F$9=H1417,OR(LEFT(L1417,3)=$U$7,LEFT(M1417,3)=$U$7)),"x","")</f>
        <v/>
      </c>
      <c r="V1417" s="55" t="str">
        <f>IF(OR(TH!L1417=TH!$V$7,M1417=TH!$V$7),"x","")</f>
        <v/>
      </c>
      <c r="W1417" s="55" t="str">
        <f>IF(AND(OR(L1417="131",M1417="131"),H1417='131-CT'!$E$7),"x","")</f>
        <v/>
      </c>
      <c r="X1417" s="55" t="str">
        <f>IF(AND(B1417&gt;='IN-NX'!$P$3,B1417&lt;='IN-NX'!$Q$3,'IN-NX'!$D$7=D1417,OR(LEFT(TH!L1417,2)="15",LEFT(TH!M1417,2)="15")),"x","")</f>
        <v/>
      </c>
      <c r="Y1417" s="55" t="str">
        <f>IF(AND(OR(LEFT(TH!L1417,2)="15",LEFT(TH!M1417,2)="15"),'152-CT'!$J$8=TH!F1417),"x","")</f>
        <v/>
      </c>
      <c r="Z1417" s="55" t="str">
        <f>IF(AND(OR(LEFT(TH!L1417,2)="15",LEFT(TH!M1417,2)="15"),TK!$E$7=TH!F1417),"x","")</f>
        <v/>
      </c>
      <c r="AA1417" s="55" t="str">
        <f>IF(AND(B1417&lt;=NKC!$N$8,B1417&gt;=NKC!$M$8),"x","")</f>
        <v/>
      </c>
    </row>
    <row r="1418" spans="1:27" ht="15.75" customHeight="1">
      <c r="A1418" s="219" t="str">
        <f>IF(B1418&lt;&gt;"",IF(AND(B1418&gt;=_TM1,B1418&lt;=_TM2,OR(TH!L1418="1111",TH!M1418="1111")),TH!D1418,""),"")</f>
        <v/>
      </c>
      <c r="B1418" s="36" t="str">
        <f t="shared" si="57"/>
        <v/>
      </c>
      <c r="C1418" s="37"/>
      <c r="D1418" s="37"/>
      <c r="E1418" s="37"/>
      <c r="F1418" s="40"/>
      <c r="G1418" s="580"/>
      <c r="H1418" s="45"/>
      <c r="I1418" s="277"/>
      <c r="J1418" s="277"/>
      <c r="K1418" s="38"/>
      <c r="L1418" s="208"/>
      <c r="M1418" s="39"/>
      <c r="N1418" s="55" t="str">
        <f>IF(AND('331-CT'!$E$7=TH!H1418,OR(L1418="331",M1418="331")),"x","")</f>
        <v/>
      </c>
      <c r="O1418" s="55" t="str">
        <f>IF(AND($B1418&gt;='111'!$N$11,$B1418&lt;='111'!$O$11,OR($L1418=$O$7,$M1418=$O$7)),"x","")</f>
        <v/>
      </c>
      <c r="P1418" s="55" t="str">
        <f>IF(AND($L1418=$O$7,$B1418&lt;'111'!$N$11),"x","")</f>
        <v/>
      </c>
      <c r="Q1418" s="55" t="str">
        <f>IF(AND($M1418=$O$7,$B1418&lt;'111'!$N$11),"x","")</f>
        <v/>
      </c>
      <c r="R1418" s="55" t="str">
        <f>IF(ISERROR(FIND('112'!$M$9,G1418,1)),"",IF((AND(FIND('112'!$M$9,G1418,1)&gt;=1,$B1418&gt;='112'!$N$8,$B1418&lt;='112'!$O$8,OR($L1418='112'!$I$6,$M1418='112'!$I$6))),"x",""))</f>
        <v/>
      </c>
      <c r="S1418" s="55" t="str">
        <f>IF(ISERROR(FIND('112'!$M$9,G1418,1)),"",IF((AND(LEFT(G1418,2)=LEFT('112'!$M$9,2),B1418&lt;'112'!$N$8,$L1418='112'!$I$6)),"x",""))</f>
        <v/>
      </c>
      <c r="T1418" s="55" t="str">
        <f>IF(ISERROR(FIND('112'!$M$9,G1418,1)),"",IF((AND(RIGHT(G1418,2)=RIGHT('112'!$M$9,2),B1418&lt;'112'!$N$8,$M1418='112'!$I$6)),"x",""))</f>
        <v/>
      </c>
      <c r="U1418" s="55" t="str">
        <f>IF(AND('3411-CT'!$F$9=H1418,OR(LEFT(L1418,3)=$U$7,LEFT(M1418,3)=$U$7)),"x","")</f>
        <v/>
      </c>
      <c r="V1418" s="55" t="str">
        <f>IF(OR(TH!L1418=TH!$V$7,M1418=TH!$V$7),"x","")</f>
        <v/>
      </c>
      <c r="W1418" s="55" t="str">
        <f>IF(AND(OR(L1418="131",M1418="131"),H1418='131-CT'!$E$7),"x","")</f>
        <v/>
      </c>
      <c r="X1418" s="55" t="str">
        <f>IF(AND(B1418&gt;='IN-NX'!$P$3,B1418&lt;='IN-NX'!$Q$3,'IN-NX'!$D$7=D1418,OR(LEFT(TH!L1418,2)="15",LEFT(TH!M1418,2)="15")),"x","")</f>
        <v/>
      </c>
      <c r="Y1418" s="55" t="str">
        <f>IF(AND(OR(LEFT(TH!L1418,2)="15",LEFT(TH!M1418,2)="15"),'152-CT'!$J$8=TH!F1418),"x","")</f>
        <v/>
      </c>
      <c r="Z1418" s="55" t="str">
        <f>IF(AND(OR(LEFT(TH!L1418,2)="15",LEFT(TH!M1418,2)="15"),TK!$E$7=TH!F1418),"x","")</f>
        <v/>
      </c>
      <c r="AA1418" s="55" t="str">
        <f>IF(AND(B1418&lt;=NKC!$N$8,B1418&gt;=NKC!$M$8),"x","")</f>
        <v/>
      </c>
    </row>
    <row r="1419" spans="1:27" ht="15.75" customHeight="1">
      <c r="A1419" s="219" t="str">
        <f>IF(B1419&lt;&gt;"",IF(AND(B1419&gt;=_TM1,B1419&lt;=_TM2,OR(TH!L1419="1111",TH!M1419="1111")),TH!D1419,""),"")</f>
        <v/>
      </c>
      <c r="B1419" s="36" t="str">
        <f t="shared" si="57"/>
        <v/>
      </c>
      <c r="C1419" s="37"/>
      <c r="D1419" s="205"/>
      <c r="E1419" s="205"/>
      <c r="F1419" s="40"/>
      <c r="G1419" s="40"/>
      <c r="H1419" s="45"/>
      <c r="I1419" s="277"/>
      <c r="J1419" s="277"/>
      <c r="K1419" s="38"/>
      <c r="L1419" s="39"/>
      <c r="M1419" s="39"/>
      <c r="N1419" s="55" t="str">
        <f>IF(AND('331-CT'!$E$7=TH!H1419,OR(L1419="331",M1419="331")),"x","")</f>
        <v/>
      </c>
      <c r="O1419" s="55" t="str">
        <f>IF(AND($B1419&gt;='111'!$N$11,$B1419&lt;='111'!$O$11,OR($L1419=$O$7,$M1419=$O$7)),"x","")</f>
        <v/>
      </c>
      <c r="P1419" s="55" t="str">
        <f>IF(AND($L1419=$O$7,$B1419&lt;'111'!$N$11),"x","")</f>
        <v/>
      </c>
      <c r="Q1419" s="55" t="str">
        <f>IF(AND($M1419=$O$7,$B1419&lt;'111'!$N$11),"x","")</f>
        <v/>
      </c>
      <c r="R1419" s="55" t="str">
        <f>IF(ISERROR(FIND('112'!$M$9,G1419,1)),"",IF((AND(FIND('112'!$M$9,G1419,1)&gt;=1,$B1419&gt;='112'!$N$8,$B1419&lt;='112'!$O$8,OR($L1419='112'!$I$6,$M1419='112'!$I$6))),"x",""))</f>
        <v/>
      </c>
      <c r="S1419" s="55" t="str">
        <f>IF(ISERROR(FIND('112'!$M$9,G1419,1)),"",IF((AND(LEFT(G1419,2)=LEFT('112'!$M$9,2),B1419&lt;'112'!$N$8,$L1419='112'!$I$6)),"x",""))</f>
        <v/>
      </c>
      <c r="T1419" s="55" t="str">
        <f>IF(ISERROR(FIND('112'!$M$9,G1419,1)),"",IF((AND(RIGHT(G1419,2)=RIGHT('112'!$M$9,2),B1419&lt;'112'!$N$8,$M1419='112'!$I$6)),"x",""))</f>
        <v/>
      </c>
      <c r="U1419" s="55" t="str">
        <f>IF(AND('3411-CT'!$F$9=H1419,OR(LEFT(L1419,3)=$U$7,LEFT(M1419,3)=$U$7)),"x","")</f>
        <v/>
      </c>
      <c r="V1419" s="55" t="str">
        <f>IF(OR(TH!L1419=TH!$V$7,M1419=TH!$V$7),"x","")</f>
        <v/>
      </c>
      <c r="W1419" s="55" t="str">
        <f>IF(AND(OR(L1419="131",M1419="131"),H1419='131-CT'!$E$7),"x","")</f>
        <v/>
      </c>
      <c r="X1419" s="55" t="str">
        <f>IF(AND(B1419&gt;='IN-NX'!$P$3,B1419&lt;='IN-NX'!$Q$3,'IN-NX'!$D$7=D1419,OR(LEFT(TH!L1419,2)="15",LEFT(TH!M1419,2)="15")),"x","")</f>
        <v/>
      </c>
      <c r="Y1419" s="55" t="str">
        <f>IF(AND(OR(LEFT(TH!L1419,2)="15",LEFT(TH!M1419,2)="15"),'152-CT'!$J$8=TH!F1419),"x","")</f>
        <v/>
      </c>
      <c r="Z1419" s="55" t="str">
        <f>IF(AND(OR(LEFT(TH!L1419,2)="15",LEFT(TH!M1419,2)="15"),TK!$E$7=TH!F1419),"x","")</f>
        <v/>
      </c>
      <c r="AA1419" s="55" t="str">
        <f>IF(AND(B1419&lt;=NKC!$N$8,B1419&gt;=NKC!$M$8),"x","")</f>
        <v/>
      </c>
    </row>
    <row r="1420" spans="1:27" ht="15.75" customHeight="1">
      <c r="A1420" s="219" t="str">
        <f>IF(B1420&lt;&gt;"",IF(AND(B1420&gt;=_TM1,B1420&lt;=_TM2,OR(TH!L1420="1111",TH!M1420="1111")),TH!D1420,""),"")</f>
        <v/>
      </c>
      <c r="B1420" s="36" t="str">
        <f t="shared" si="57"/>
        <v/>
      </c>
      <c r="C1420" s="37"/>
      <c r="D1420" s="37"/>
      <c r="E1420" s="37"/>
      <c r="F1420" s="40"/>
      <c r="G1420" s="580"/>
      <c r="H1420" s="45"/>
      <c r="I1420" s="277"/>
      <c r="J1420" s="277"/>
      <c r="K1420" s="38"/>
      <c r="L1420" s="39"/>
      <c r="M1420" s="39"/>
      <c r="N1420" s="55" t="str">
        <f>IF(AND('331-CT'!$E$7=TH!H1420,OR(L1420="331",M1420="331")),"x","")</f>
        <v/>
      </c>
      <c r="O1420" s="55" t="str">
        <f>IF(AND($B1420&gt;='111'!$N$11,$B1420&lt;='111'!$O$11,OR($L1420=$O$7,$M1420=$O$7)),"x","")</f>
        <v/>
      </c>
      <c r="P1420" s="55" t="str">
        <f>IF(AND($L1420=$O$7,$B1420&lt;'111'!$N$11),"x","")</f>
        <v/>
      </c>
      <c r="Q1420" s="55" t="str">
        <f>IF(AND($M1420=$O$7,$B1420&lt;'111'!$N$11),"x","")</f>
        <v/>
      </c>
      <c r="R1420" s="55" t="str">
        <f>IF(ISERROR(FIND('112'!$M$9,G1420,1)),"",IF((AND(FIND('112'!$M$9,G1420,1)&gt;=1,$B1420&gt;='112'!$N$8,$B1420&lt;='112'!$O$8,OR($L1420='112'!$I$6,$M1420='112'!$I$6))),"x",""))</f>
        <v/>
      </c>
      <c r="S1420" s="55" t="str">
        <f>IF(ISERROR(FIND('112'!$M$9,G1420,1)),"",IF((AND(LEFT(G1420,2)=LEFT('112'!$M$9,2),B1420&lt;'112'!$N$8,$L1420='112'!$I$6)),"x",""))</f>
        <v/>
      </c>
      <c r="T1420" s="55" t="str">
        <f>IF(ISERROR(FIND('112'!$M$9,G1420,1)),"",IF((AND(RIGHT(G1420,2)=RIGHT('112'!$M$9,2),B1420&lt;'112'!$N$8,$M1420='112'!$I$6)),"x",""))</f>
        <v/>
      </c>
      <c r="U1420" s="55" t="str">
        <f>IF(AND('3411-CT'!$F$9=H1420,OR(LEFT(L1420,3)=$U$7,LEFT(M1420,3)=$U$7)),"x","")</f>
        <v/>
      </c>
      <c r="V1420" s="55" t="str">
        <f>IF(OR(TH!L1420=TH!$V$7,M1420=TH!$V$7),"x","")</f>
        <v/>
      </c>
      <c r="W1420" s="55" t="str">
        <f>IF(AND(OR(L1420="131",M1420="131"),H1420='131-CT'!$E$7),"x","")</f>
        <v/>
      </c>
      <c r="X1420" s="55" t="str">
        <f>IF(AND(B1420&gt;='IN-NX'!$P$3,B1420&lt;='IN-NX'!$Q$3,'IN-NX'!$D$7=D1420,OR(LEFT(TH!L1420,2)="15",LEFT(TH!M1420,2)="15")),"x","")</f>
        <v/>
      </c>
      <c r="Y1420" s="55" t="str">
        <f>IF(AND(OR(LEFT(TH!L1420,2)="15",LEFT(TH!M1420,2)="15"),'152-CT'!$J$8=TH!F1420),"x","")</f>
        <v/>
      </c>
      <c r="Z1420" s="55" t="str">
        <f>IF(AND(OR(LEFT(TH!L1420,2)="15",LEFT(TH!M1420,2)="15"),TK!$E$7=TH!F1420),"x","")</f>
        <v/>
      </c>
      <c r="AA1420" s="55" t="str">
        <f>IF(AND(B1420&lt;=NKC!$N$8,B1420&gt;=NKC!$M$8),"x","")</f>
        <v/>
      </c>
    </row>
    <row r="1421" spans="1:27" ht="15.75" customHeight="1">
      <c r="A1421" s="219" t="str">
        <f>IF(B1421&lt;&gt;"",IF(AND(B1421&gt;=_TM1,B1421&lt;=_TM2,OR(TH!L1421="1111",TH!M1421="1111")),TH!D1421,""),"")</f>
        <v/>
      </c>
      <c r="B1421" s="36" t="str">
        <f t="shared" si="57"/>
        <v/>
      </c>
      <c r="C1421" s="37"/>
      <c r="D1421" s="37"/>
      <c r="E1421" s="37"/>
      <c r="F1421" s="40"/>
      <c r="G1421" s="580"/>
      <c r="H1421" s="45"/>
      <c r="I1421" s="277"/>
      <c r="J1421" s="277"/>
      <c r="K1421" s="38"/>
      <c r="L1421" s="39"/>
      <c r="M1421" s="39"/>
      <c r="N1421" s="55" t="str">
        <f>IF(AND('331-CT'!$E$7=TH!H1421,OR(L1421="331",M1421="331")),"x","")</f>
        <v/>
      </c>
      <c r="O1421" s="55" t="str">
        <f>IF(AND($B1421&gt;='111'!$N$11,$B1421&lt;='111'!$O$11,OR($L1421=$O$7,$M1421=$O$7)),"x","")</f>
        <v/>
      </c>
      <c r="P1421" s="55" t="str">
        <f>IF(AND($L1421=$O$7,$B1421&lt;'111'!$N$11),"x","")</f>
        <v/>
      </c>
      <c r="Q1421" s="55" t="str">
        <f>IF(AND($M1421=$O$7,$B1421&lt;'111'!$N$11),"x","")</f>
        <v/>
      </c>
      <c r="R1421" s="55" t="str">
        <f>IF(ISERROR(FIND('112'!$M$9,G1421,1)),"",IF((AND(FIND('112'!$M$9,G1421,1)&gt;=1,$B1421&gt;='112'!$N$8,$B1421&lt;='112'!$O$8,OR($L1421='112'!$I$6,$M1421='112'!$I$6))),"x",""))</f>
        <v/>
      </c>
      <c r="S1421" s="55" t="str">
        <f>IF(ISERROR(FIND('112'!$M$9,G1421,1)),"",IF((AND(LEFT(G1421,2)=LEFT('112'!$M$9,2),B1421&lt;'112'!$N$8,$L1421='112'!$I$6)),"x",""))</f>
        <v/>
      </c>
      <c r="T1421" s="55" t="str">
        <f>IF(ISERROR(FIND('112'!$M$9,G1421,1)),"",IF((AND(RIGHT(G1421,2)=RIGHT('112'!$M$9,2),B1421&lt;'112'!$N$8,$M1421='112'!$I$6)),"x",""))</f>
        <v/>
      </c>
      <c r="U1421" s="55" t="str">
        <f>IF(AND('3411-CT'!$F$9=H1421,OR(LEFT(L1421,3)=$U$7,LEFT(M1421,3)=$U$7)),"x","")</f>
        <v/>
      </c>
      <c r="V1421" s="55" t="str">
        <f>IF(OR(TH!L1421=TH!$V$7,M1421=TH!$V$7),"x","")</f>
        <v/>
      </c>
      <c r="W1421" s="55" t="str">
        <f>IF(AND(OR(L1421="131",M1421="131"),H1421='131-CT'!$E$7),"x","")</f>
        <v/>
      </c>
      <c r="X1421" s="55" t="str">
        <f>IF(AND(B1421&gt;='IN-NX'!$P$3,B1421&lt;='IN-NX'!$Q$3,'IN-NX'!$D$7=D1421,OR(LEFT(TH!L1421,2)="15",LEFT(TH!M1421,2)="15")),"x","")</f>
        <v/>
      </c>
      <c r="Y1421" s="55" t="str">
        <f>IF(AND(OR(LEFT(TH!L1421,2)="15",LEFT(TH!M1421,2)="15"),'152-CT'!$J$8=TH!F1421),"x","")</f>
        <v/>
      </c>
      <c r="Z1421" s="55" t="str">
        <f>IF(AND(OR(LEFT(TH!L1421,2)="15",LEFT(TH!M1421,2)="15"),TK!$E$7=TH!F1421),"x","")</f>
        <v/>
      </c>
      <c r="AA1421" s="55" t="str">
        <f>IF(AND(B1421&lt;=NKC!$N$8,B1421&gt;=NKC!$M$8),"x","")</f>
        <v/>
      </c>
    </row>
    <row r="1422" spans="1:27" ht="15.75" customHeight="1">
      <c r="A1422" s="219" t="str">
        <f>IF(B1422&lt;&gt;"",IF(AND(B1422&gt;=_TM1,B1422&lt;=_TM2,OR(TH!L1422="1111",TH!M1422="1111")),TH!D1422,""),"")</f>
        <v/>
      </c>
      <c r="B1422" s="36" t="str">
        <f t="shared" si="57"/>
        <v/>
      </c>
      <c r="C1422" s="37"/>
      <c r="D1422" s="37"/>
      <c r="E1422" s="37"/>
      <c r="F1422" s="40"/>
      <c r="G1422" s="40"/>
      <c r="H1422" s="45"/>
      <c r="I1422" s="277"/>
      <c r="J1422" s="277"/>
      <c r="K1422" s="38"/>
      <c r="L1422" s="39"/>
      <c r="M1422" s="39"/>
      <c r="N1422" s="55" t="str">
        <f>IF(AND('331-CT'!$E$7=TH!H1422,OR(L1422="331",M1422="331")),"x","")</f>
        <v/>
      </c>
      <c r="O1422" s="55" t="str">
        <f>IF(AND($B1422&gt;='111'!$N$11,$B1422&lt;='111'!$O$11,OR($L1422=$O$7,$M1422=$O$7)),"x","")</f>
        <v/>
      </c>
      <c r="P1422" s="55" t="str">
        <f>IF(AND($L1422=$O$7,$B1422&lt;'111'!$N$11),"x","")</f>
        <v/>
      </c>
      <c r="Q1422" s="55" t="str">
        <f>IF(AND($M1422=$O$7,$B1422&lt;'111'!$N$11),"x","")</f>
        <v/>
      </c>
      <c r="R1422" s="55" t="str">
        <f>IF(ISERROR(FIND('112'!$M$9,G1422,1)),"",IF((AND(FIND('112'!$M$9,G1422,1)&gt;=1,$B1422&gt;='112'!$N$8,$B1422&lt;='112'!$O$8,OR($L1422='112'!$I$6,$M1422='112'!$I$6))),"x",""))</f>
        <v/>
      </c>
      <c r="S1422" s="55" t="str">
        <f>IF(ISERROR(FIND('112'!$M$9,G1422,1)),"",IF((AND(LEFT(G1422,2)=LEFT('112'!$M$9,2),B1422&lt;'112'!$N$8,$L1422='112'!$I$6)),"x",""))</f>
        <v/>
      </c>
      <c r="T1422" s="55" t="str">
        <f>IF(ISERROR(FIND('112'!$M$9,G1422,1)),"",IF((AND(RIGHT(G1422,2)=RIGHT('112'!$M$9,2),B1422&lt;'112'!$N$8,$M1422='112'!$I$6)),"x",""))</f>
        <v/>
      </c>
      <c r="U1422" s="55" t="str">
        <f>IF(AND('3411-CT'!$F$9=H1422,OR(LEFT(L1422,3)=$U$7,LEFT(M1422,3)=$U$7)),"x","")</f>
        <v/>
      </c>
      <c r="V1422" s="55" t="str">
        <f>IF(OR(TH!L1422=TH!$V$7,M1422=TH!$V$7),"x","")</f>
        <v/>
      </c>
      <c r="W1422" s="55" t="str">
        <f>IF(AND(OR(L1422="131",M1422="131"),H1422='131-CT'!$E$7),"x","")</f>
        <v/>
      </c>
      <c r="X1422" s="55" t="str">
        <f>IF(AND(B1422&gt;='IN-NX'!$P$3,B1422&lt;='IN-NX'!$Q$3,'IN-NX'!$D$7=D1422,OR(LEFT(TH!L1422,2)="15",LEFT(TH!M1422,2)="15")),"x","")</f>
        <v/>
      </c>
      <c r="Y1422" s="55" t="str">
        <f>IF(AND(OR(LEFT(TH!L1422,2)="15",LEFT(TH!M1422,2)="15"),'152-CT'!$J$8=TH!F1422),"x","")</f>
        <v/>
      </c>
      <c r="Z1422" s="55" t="str">
        <f>IF(AND(OR(LEFT(TH!L1422,2)="15",LEFT(TH!M1422,2)="15"),TK!$E$7=TH!F1422),"x","")</f>
        <v/>
      </c>
      <c r="AA1422" s="55" t="str">
        <f>IF(AND(B1422&lt;=NKC!$N$8,B1422&gt;=NKC!$M$8),"x","")</f>
        <v/>
      </c>
    </row>
    <row r="1423" spans="1:27" ht="15.75" customHeight="1">
      <c r="A1423" s="219" t="str">
        <f>IF(B1423&lt;&gt;"",IF(AND(B1423&gt;=_TM1,B1423&lt;=_TM2,OR(TH!L1423="1111",TH!M1423="1111")),TH!D1423,""),"")</f>
        <v/>
      </c>
      <c r="B1423" s="36" t="str">
        <f t="shared" si="57"/>
        <v/>
      </c>
      <c r="C1423" s="37"/>
      <c r="D1423" s="37"/>
      <c r="E1423" s="37"/>
      <c r="F1423" s="40"/>
      <c r="G1423" s="40"/>
      <c r="H1423" s="45"/>
      <c r="I1423" s="277"/>
      <c r="J1423" s="277"/>
      <c r="K1423" s="38"/>
      <c r="L1423" s="39"/>
      <c r="M1423" s="39"/>
      <c r="N1423" s="55" t="str">
        <f>IF(AND('331-CT'!$E$7=TH!H1423,OR(L1423="331",M1423="331")),"x","")</f>
        <v/>
      </c>
      <c r="O1423" s="55" t="str">
        <f>IF(AND($B1423&gt;='111'!$N$11,$B1423&lt;='111'!$O$11,OR($L1423=$O$7,$M1423=$O$7)),"x","")</f>
        <v/>
      </c>
      <c r="P1423" s="55" t="str">
        <f>IF(AND($L1423=$O$7,$B1423&lt;'111'!$N$11),"x","")</f>
        <v/>
      </c>
      <c r="Q1423" s="55" t="str">
        <f>IF(AND($M1423=$O$7,$B1423&lt;'111'!$N$11),"x","")</f>
        <v/>
      </c>
      <c r="R1423" s="55" t="str">
        <f>IF(ISERROR(FIND('112'!$M$9,G1423,1)),"",IF((AND(FIND('112'!$M$9,G1423,1)&gt;=1,$B1423&gt;='112'!$N$8,$B1423&lt;='112'!$O$8,OR($L1423='112'!$I$6,$M1423='112'!$I$6))),"x",""))</f>
        <v/>
      </c>
      <c r="S1423" s="55" t="str">
        <f>IF(ISERROR(FIND('112'!$M$9,G1423,1)),"",IF((AND(LEFT(G1423,2)=LEFT('112'!$M$9,2),B1423&lt;'112'!$N$8,$L1423='112'!$I$6)),"x",""))</f>
        <v/>
      </c>
      <c r="T1423" s="55" t="str">
        <f>IF(ISERROR(FIND('112'!$M$9,G1423,1)),"",IF((AND(RIGHT(G1423,2)=RIGHT('112'!$M$9,2),B1423&lt;'112'!$N$8,$M1423='112'!$I$6)),"x",""))</f>
        <v/>
      </c>
      <c r="U1423" s="55" t="str">
        <f>IF(AND('3411-CT'!$F$9=H1423,OR(LEFT(L1423,3)=$U$7,LEFT(M1423,3)=$U$7)),"x","")</f>
        <v/>
      </c>
      <c r="V1423" s="55" t="str">
        <f>IF(OR(TH!L1423=TH!$V$7,M1423=TH!$V$7),"x","")</f>
        <v/>
      </c>
      <c r="W1423" s="55" t="str">
        <f>IF(AND(OR(L1423="131",M1423="131"),H1423='131-CT'!$E$7),"x","")</f>
        <v/>
      </c>
      <c r="X1423" s="55" t="str">
        <f>IF(AND(B1423&gt;='IN-NX'!$P$3,B1423&lt;='IN-NX'!$Q$3,'IN-NX'!$D$7=D1423,OR(LEFT(TH!L1423,2)="15",LEFT(TH!M1423,2)="15")),"x","")</f>
        <v/>
      </c>
      <c r="Y1423" s="55" t="str">
        <f>IF(AND(OR(LEFT(TH!L1423,2)="15",LEFT(TH!M1423,2)="15"),'152-CT'!$J$8=TH!F1423),"x","")</f>
        <v/>
      </c>
      <c r="Z1423" s="55" t="str">
        <f>IF(AND(OR(LEFT(TH!L1423,2)="15",LEFT(TH!M1423,2)="15"),TK!$E$7=TH!F1423),"x","")</f>
        <v/>
      </c>
      <c r="AA1423" s="55" t="str">
        <f>IF(AND(B1423&lt;=NKC!$N$8,B1423&gt;=NKC!$M$8),"x","")</f>
        <v/>
      </c>
    </row>
    <row r="1424" spans="1:27" ht="15.75" customHeight="1">
      <c r="A1424" s="219" t="str">
        <f>IF(B1424&lt;&gt;"",IF(AND(B1424&gt;=_TM1,B1424&lt;=_TM2,OR(TH!L1424="1111",TH!M1424="1111")),TH!D1424,""),"")</f>
        <v/>
      </c>
      <c r="B1424" s="36" t="str">
        <f t="shared" si="57"/>
        <v/>
      </c>
      <c r="C1424" s="37"/>
      <c r="D1424" s="37"/>
      <c r="E1424" s="37"/>
      <c r="F1424" s="40"/>
      <c r="G1424" s="40"/>
      <c r="H1424" s="45"/>
      <c r="I1424" s="277"/>
      <c r="J1424" s="277"/>
      <c r="K1424" s="38"/>
      <c r="L1424" s="39"/>
      <c r="M1424" s="39"/>
      <c r="N1424" s="55" t="str">
        <f>IF(AND('331-CT'!$E$7=TH!H1424,OR(L1424="331",M1424="331")),"x","")</f>
        <v/>
      </c>
      <c r="O1424" s="55" t="str">
        <f>IF(AND($B1424&gt;='111'!$N$11,$B1424&lt;='111'!$O$11,OR($L1424=$O$7,$M1424=$O$7)),"x","")</f>
        <v/>
      </c>
      <c r="P1424" s="55" t="str">
        <f>IF(AND($L1424=$O$7,$B1424&lt;'111'!$N$11),"x","")</f>
        <v/>
      </c>
      <c r="Q1424" s="55" t="str">
        <f>IF(AND($M1424=$O$7,$B1424&lt;'111'!$N$11),"x","")</f>
        <v/>
      </c>
      <c r="R1424" s="55" t="str">
        <f>IF(ISERROR(FIND('112'!$M$9,G1424,1)),"",IF((AND(FIND('112'!$M$9,G1424,1)&gt;=1,$B1424&gt;='112'!$N$8,$B1424&lt;='112'!$O$8,OR($L1424='112'!$I$6,$M1424='112'!$I$6))),"x",""))</f>
        <v/>
      </c>
      <c r="S1424" s="55" t="str">
        <f>IF(ISERROR(FIND('112'!$M$9,G1424,1)),"",IF((AND(LEFT(G1424,2)=LEFT('112'!$M$9,2),B1424&lt;'112'!$N$8,$L1424='112'!$I$6)),"x",""))</f>
        <v/>
      </c>
      <c r="T1424" s="55" t="str">
        <f>IF(ISERROR(FIND('112'!$M$9,G1424,1)),"",IF((AND(RIGHT(G1424,2)=RIGHT('112'!$M$9,2),B1424&lt;'112'!$N$8,$M1424='112'!$I$6)),"x",""))</f>
        <v/>
      </c>
      <c r="U1424" s="55" t="str">
        <f>IF(AND('3411-CT'!$F$9=H1424,OR(LEFT(L1424,3)=$U$7,LEFT(M1424,3)=$U$7)),"x","")</f>
        <v/>
      </c>
      <c r="V1424" s="55" t="str">
        <f>IF(OR(TH!L1424=TH!$V$7,M1424=TH!$V$7),"x","")</f>
        <v/>
      </c>
      <c r="W1424" s="55" t="str">
        <f>IF(AND(OR(L1424="131",M1424="131"),H1424='131-CT'!$E$7),"x","")</f>
        <v/>
      </c>
      <c r="X1424" s="55" t="str">
        <f>IF(AND(B1424&gt;='IN-NX'!$P$3,B1424&lt;='IN-NX'!$Q$3,'IN-NX'!$D$7=D1424,OR(LEFT(TH!L1424,2)="15",LEFT(TH!M1424,2)="15")),"x","")</f>
        <v/>
      </c>
      <c r="Y1424" s="55" t="str">
        <f>IF(AND(OR(LEFT(TH!L1424,2)="15",LEFT(TH!M1424,2)="15"),'152-CT'!$J$8=TH!F1424),"x","")</f>
        <v/>
      </c>
      <c r="Z1424" s="55" t="str">
        <f>IF(AND(OR(LEFT(TH!L1424,2)="15",LEFT(TH!M1424,2)="15"),TK!$E$7=TH!F1424),"x","")</f>
        <v/>
      </c>
      <c r="AA1424" s="55" t="str">
        <f>IF(AND(B1424&lt;=NKC!$N$8,B1424&gt;=NKC!$M$8),"x","")</f>
        <v/>
      </c>
    </row>
    <row r="1425" spans="1:27" ht="15.75" customHeight="1">
      <c r="A1425" s="219" t="str">
        <f>IF(B1425&lt;&gt;"",IF(AND(B1425&gt;=_TM1,B1425&lt;=_TM2,OR(TH!L1425="1111",TH!M1425="1111")),TH!D1425,""),"")</f>
        <v/>
      </c>
      <c r="B1425" s="36" t="str">
        <f t="shared" si="57"/>
        <v/>
      </c>
      <c r="C1425" s="37"/>
      <c r="D1425" s="37"/>
      <c r="E1425" s="37"/>
      <c r="F1425" s="40"/>
      <c r="G1425" s="40"/>
      <c r="H1425" s="45"/>
      <c r="I1425" s="277"/>
      <c r="J1425" s="277"/>
      <c r="K1425" s="38"/>
      <c r="L1425" s="39"/>
      <c r="M1425" s="39"/>
      <c r="N1425" s="55" t="str">
        <f>IF(AND('331-CT'!$E$7=TH!H1425,OR(L1425="331",M1425="331")),"x","")</f>
        <v/>
      </c>
      <c r="O1425" s="55" t="str">
        <f>IF(AND($B1425&gt;='111'!$N$11,$B1425&lt;='111'!$O$11,OR($L1425=$O$7,$M1425=$O$7)),"x","")</f>
        <v/>
      </c>
      <c r="P1425" s="55" t="str">
        <f>IF(AND($L1425=$O$7,$B1425&lt;'111'!$N$11),"x","")</f>
        <v/>
      </c>
      <c r="Q1425" s="55" t="str">
        <f>IF(AND($M1425=$O$7,$B1425&lt;'111'!$N$11),"x","")</f>
        <v/>
      </c>
      <c r="R1425" s="55" t="str">
        <f>IF(ISERROR(FIND('112'!$M$9,G1425,1)),"",IF((AND(FIND('112'!$M$9,G1425,1)&gt;=1,$B1425&gt;='112'!$N$8,$B1425&lt;='112'!$O$8,OR($L1425='112'!$I$6,$M1425='112'!$I$6))),"x",""))</f>
        <v/>
      </c>
      <c r="S1425" s="55" t="str">
        <f>IF(ISERROR(FIND('112'!$M$9,G1425,1)),"",IF((AND(LEFT(G1425,2)=LEFT('112'!$M$9,2),B1425&lt;'112'!$N$8,$L1425='112'!$I$6)),"x",""))</f>
        <v/>
      </c>
      <c r="T1425" s="55" t="str">
        <f>IF(ISERROR(FIND('112'!$M$9,G1425,1)),"",IF((AND(RIGHT(G1425,2)=RIGHT('112'!$M$9,2),B1425&lt;'112'!$N$8,$M1425='112'!$I$6)),"x",""))</f>
        <v/>
      </c>
      <c r="U1425" s="55" t="str">
        <f>IF(AND('3411-CT'!$F$9=H1425,OR(LEFT(L1425,3)=$U$7,LEFT(M1425,3)=$U$7)),"x","")</f>
        <v/>
      </c>
      <c r="V1425" s="55" t="str">
        <f>IF(OR(TH!L1425=TH!$V$7,M1425=TH!$V$7),"x","")</f>
        <v/>
      </c>
      <c r="W1425" s="55" t="str">
        <f>IF(AND(OR(L1425="131",M1425="131"),H1425='131-CT'!$E$7),"x","")</f>
        <v/>
      </c>
      <c r="X1425" s="55" t="str">
        <f>IF(AND(B1425&gt;='IN-NX'!$P$3,B1425&lt;='IN-NX'!$Q$3,'IN-NX'!$D$7=D1425,OR(LEFT(TH!L1425,2)="15",LEFT(TH!M1425,2)="15")),"x","")</f>
        <v/>
      </c>
      <c r="Y1425" s="55" t="str">
        <f>IF(AND(OR(LEFT(TH!L1425,2)="15",LEFT(TH!M1425,2)="15"),'152-CT'!$J$8=TH!F1425),"x","")</f>
        <v/>
      </c>
      <c r="Z1425" s="55" t="str">
        <f>IF(AND(OR(LEFT(TH!L1425,2)="15",LEFT(TH!M1425,2)="15"),TK!$E$7=TH!F1425),"x","")</f>
        <v/>
      </c>
      <c r="AA1425" s="55" t="str">
        <f>IF(AND(B1425&lt;=NKC!$N$8,B1425&gt;=NKC!$M$8),"x","")</f>
        <v/>
      </c>
    </row>
    <row r="1426" spans="1:27" ht="15.75" customHeight="1">
      <c r="A1426" s="219" t="str">
        <f>IF(B1426&lt;&gt;"",IF(AND(B1426&gt;=_TM1,B1426&lt;=_TM2,OR(TH!L1426="1111",TH!M1426="1111")),TH!D1426,""),"")</f>
        <v/>
      </c>
      <c r="B1426" s="36" t="str">
        <f t="shared" si="57"/>
        <v/>
      </c>
      <c r="C1426" s="37"/>
      <c r="D1426" s="37"/>
      <c r="E1426" s="37"/>
      <c r="F1426" s="40"/>
      <c r="G1426" s="40"/>
      <c r="H1426" s="45"/>
      <c r="I1426" s="277"/>
      <c r="J1426" s="277"/>
      <c r="K1426" s="38"/>
      <c r="L1426" s="39"/>
      <c r="M1426" s="39"/>
      <c r="N1426" s="55" t="str">
        <f>IF(AND('331-CT'!$E$7=TH!H1426,OR(L1426="331",M1426="331")),"x","")</f>
        <v/>
      </c>
      <c r="O1426" s="55" t="str">
        <f>IF(AND($B1426&gt;='111'!$N$11,$B1426&lt;='111'!$O$11,OR($L1426=$O$7,$M1426=$O$7)),"x","")</f>
        <v/>
      </c>
      <c r="P1426" s="55" t="str">
        <f>IF(AND($L1426=$O$7,$B1426&lt;'111'!$N$11),"x","")</f>
        <v/>
      </c>
      <c r="Q1426" s="55" t="str">
        <f>IF(AND($M1426=$O$7,$B1426&lt;'111'!$N$11),"x","")</f>
        <v/>
      </c>
      <c r="R1426" s="55" t="str">
        <f>IF(ISERROR(FIND('112'!$M$9,G1426,1)),"",IF((AND(FIND('112'!$M$9,G1426,1)&gt;=1,$B1426&gt;='112'!$N$8,$B1426&lt;='112'!$O$8,OR($L1426='112'!$I$6,$M1426='112'!$I$6))),"x",""))</f>
        <v/>
      </c>
      <c r="S1426" s="55" t="str">
        <f>IF(ISERROR(FIND('112'!$M$9,G1426,1)),"",IF((AND(LEFT(G1426,2)=LEFT('112'!$M$9,2),B1426&lt;'112'!$N$8,$L1426='112'!$I$6)),"x",""))</f>
        <v/>
      </c>
      <c r="T1426" s="55" t="str">
        <f>IF(ISERROR(FIND('112'!$M$9,G1426,1)),"",IF((AND(RIGHT(G1426,2)=RIGHT('112'!$M$9,2),B1426&lt;'112'!$N$8,$M1426='112'!$I$6)),"x",""))</f>
        <v/>
      </c>
      <c r="U1426" s="55" t="str">
        <f>IF(AND('3411-CT'!$F$9=H1426,OR(LEFT(L1426,3)=$U$7,LEFT(M1426,3)=$U$7)),"x","")</f>
        <v/>
      </c>
      <c r="V1426" s="55" t="str">
        <f>IF(OR(TH!L1426=TH!$V$7,M1426=TH!$V$7),"x","")</f>
        <v/>
      </c>
      <c r="W1426" s="55" t="str">
        <f>IF(AND(OR(L1426="131",M1426="131"),H1426='131-CT'!$E$7),"x","")</f>
        <v/>
      </c>
      <c r="X1426" s="55" t="str">
        <f>IF(AND(B1426&gt;='IN-NX'!$P$3,B1426&lt;='IN-NX'!$Q$3,'IN-NX'!$D$7=D1426,OR(LEFT(TH!L1426,2)="15",LEFT(TH!M1426,2)="15")),"x","")</f>
        <v/>
      </c>
      <c r="Y1426" s="55" t="str">
        <f>IF(AND(OR(LEFT(TH!L1426,2)="15",LEFT(TH!M1426,2)="15"),'152-CT'!$J$8=TH!F1426),"x","")</f>
        <v/>
      </c>
      <c r="Z1426" s="55" t="str">
        <f>IF(AND(OR(LEFT(TH!L1426,2)="15",LEFT(TH!M1426,2)="15"),TK!$E$7=TH!F1426),"x","")</f>
        <v/>
      </c>
      <c r="AA1426" s="55" t="str">
        <f>IF(AND(B1426&lt;=NKC!$N$8,B1426&gt;=NKC!$M$8),"x","")</f>
        <v/>
      </c>
    </row>
    <row r="1427" spans="1:27" ht="15.75" customHeight="1">
      <c r="A1427" s="219" t="str">
        <f>IF(B1427&lt;&gt;"",IF(AND(B1427&gt;=_TM1,B1427&lt;=_TM2,OR(TH!L1427="1111",TH!M1427="1111")),TH!D1427,""),"")</f>
        <v/>
      </c>
      <c r="B1427" s="36" t="str">
        <f t="shared" si="57"/>
        <v/>
      </c>
      <c r="C1427" s="37"/>
      <c r="D1427" s="37"/>
      <c r="E1427" s="37"/>
      <c r="F1427" s="40"/>
      <c r="G1427" s="40"/>
      <c r="H1427" s="45"/>
      <c r="I1427" s="277"/>
      <c r="J1427" s="277"/>
      <c r="K1427" s="38"/>
      <c r="L1427" s="39"/>
      <c r="M1427" s="39"/>
      <c r="N1427" s="55" t="str">
        <f>IF(AND('331-CT'!$E$7=TH!H1427,OR(L1427="331",M1427="331")),"x","")</f>
        <v/>
      </c>
      <c r="O1427" s="55" t="str">
        <f>IF(AND($B1427&gt;='111'!$N$11,$B1427&lt;='111'!$O$11,OR($L1427=$O$7,$M1427=$O$7)),"x","")</f>
        <v/>
      </c>
      <c r="P1427" s="55" t="str">
        <f>IF(AND($L1427=$O$7,$B1427&lt;'111'!$N$11),"x","")</f>
        <v/>
      </c>
      <c r="Q1427" s="55" t="str">
        <f>IF(AND($M1427=$O$7,$B1427&lt;'111'!$N$11),"x","")</f>
        <v/>
      </c>
      <c r="R1427" s="55" t="str">
        <f>IF(ISERROR(FIND('112'!$M$9,G1427,1)),"",IF((AND(FIND('112'!$M$9,G1427,1)&gt;=1,$B1427&gt;='112'!$N$8,$B1427&lt;='112'!$O$8,OR($L1427='112'!$I$6,$M1427='112'!$I$6))),"x",""))</f>
        <v/>
      </c>
      <c r="S1427" s="55" t="str">
        <f>IF(ISERROR(FIND('112'!$M$9,G1427,1)),"",IF((AND(LEFT(G1427,2)=LEFT('112'!$M$9,2),B1427&lt;'112'!$N$8,$L1427='112'!$I$6)),"x",""))</f>
        <v/>
      </c>
      <c r="T1427" s="55" t="str">
        <f>IF(ISERROR(FIND('112'!$M$9,G1427,1)),"",IF((AND(RIGHT(G1427,2)=RIGHT('112'!$M$9,2),B1427&lt;'112'!$N$8,$M1427='112'!$I$6)),"x",""))</f>
        <v/>
      </c>
      <c r="U1427" s="55" t="str">
        <f>IF(AND('3411-CT'!$F$9=H1427,OR(LEFT(L1427,3)=$U$7,LEFT(M1427,3)=$U$7)),"x","")</f>
        <v/>
      </c>
      <c r="V1427" s="55" t="str">
        <f>IF(OR(TH!L1427=TH!$V$7,M1427=TH!$V$7),"x","")</f>
        <v/>
      </c>
      <c r="W1427" s="55" t="str">
        <f>IF(AND(OR(L1427="131",M1427="131"),H1427='131-CT'!$E$7),"x","")</f>
        <v/>
      </c>
      <c r="X1427" s="55" t="str">
        <f>IF(AND(B1427&gt;='IN-NX'!$P$3,B1427&lt;='IN-NX'!$Q$3,'IN-NX'!$D$7=D1427,OR(LEFT(TH!L1427,2)="15",LEFT(TH!M1427,2)="15")),"x","")</f>
        <v/>
      </c>
      <c r="Y1427" s="55" t="str">
        <f>IF(AND(OR(LEFT(TH!L1427,2)="15",LEFT(TH!M1427,2)="15"),'152-CT'!$J$8=TH!F1427),"x","")</f>
        <v/>
      </c>
      <c r="Z1427" s="55" t="str">
        <f>IF(AND(OR(LEFT(TH!L1427,2)="15",LEFT(TH!M1427,2)="15"),TK!$E$7=TH!F1427),"x","")</f>
        <v/>
      </c>
      <c r="AA1427" s="55" t="str">
        <f>IF(AND(B1427&lt;=NKC!$N$8,B1427&gt;=NKC!$M$8),"x","")</f>
        <v/>
      </c>
    </row>
    <row r="1428" spans="1:27" ht="15.75" customHeight="1">
      <c r="A1428" s="219" t="str">
        <f>IF(B1428&lt;&gt;"",IF(AND(B1428&gt;=_TM1,B1428&lt;=_TM2,OR(TH!L1428="1111",TH!M1428="1111")),TH!D1428,""),"")</f>
        <v/>
      </c>
      <c r="B1428" s="36" t="str">
        <f t="shared" si="57"/>
        <v/>
      </c>
      <c r="C1428" s="37"/>
      <c r="D1428" s="37"/>
      <c r="E1428" s="37"/>
      <c r="F1428" s="40"/>
      <c r="G1428" s="40"/>
      <c r="H1428" s="45"/>
      <c r="I1428" s="277"/>
      <c r="J1428" s="277"/>
      <c r="K1428" s="38"/>
      <c r="L1428" s="39"/>
      <c r="M1428" s="39"/>
      <c r="N1428" s="55" t="str">
        <f>IF(AND('331-CT'!$E$7=TH!H1428,OR(L1428="331",M1428="331")),"x","")</f>
        <v/>
      </c>
      <c r="O1428" s="55" t="str">
        <f>IF(AND($B1428&gt;='111'!$N$11,$B1428&lt;='111'!$O$11,OR($L1428=$O$7,$M1428=$O$7)),"x","")</f>
        <v/>
      </c>
      <c r="P1428" s="55" t="str">
        <f>IF(AND($L1428=$O$7,$B1428&lt;'111'!$N$11),"x","")</f>
        <v/>
      </c>
      <c r="Q1428" s="55" t="str">
        <f>IF(AND($M1428=$O$7,$B1428&lt;'111'!$N$11),"x","")</f>
        <v/>
      </c>
      <c r="R1428" s="55" t="str">
        <f>IF(ISERROR(FIND('112'!$M$9,G1428,1)),"",IF((AND(FIND('112'!$M$9,G1428,1)&gt;=1,$B1428&gt;='112'!$N$8,$B1428&lt;='112'!$O$8,OR($L1428='112'!$I$6,$M1428='112'!$I$6))),"x",""))</f>
        <v/>
      </c>
      <c r="S1428" s="55" t="str">
        <f>IF(ISERROR(FIND('112'!$M$9,G1428,1)),"",IF((AND(LEFT(G1428,2)=LEFT('112'!$M$9,2),B1428&lt;'112'!$N$8,$L1428='112'!$I$6)),"x",""))</f>
        <v/>
      </c>
      <c r="T1428" s="55" t="str">
        <f>IF(ISERROR(FIND('112'!$M$9,G1428,1)),"",IF((AND(RIGHT(G1428,2)=RIGHT('112'!$M$9,2),B1428&lt;'112'!$N$8,$M1428='112'!$I$6)),"x",""))</f>
        <v/>
      </c>
      <c r="U1428" s="55" t="str">
        <f>IF(AND('3411-CT'!$F$9=H1428,OR(LEFT(L1428,3)=$U$7,LEFT(M1428,3)=$U$7)),"x","")</f>
        <v/>
      </c>
      <c r="V1428" s="55" t="str">
        <f>IF(OR(TH!L1428=TH!$V$7,M1428=TH!$V$7),"x","")</f>
        <v/>
      </c>
      <c r="W1428" s="55" t="str">
        <f>IF(AND(OR(L1428="131",M1428="131"),H1428='131-CT'!$E$7),"x","")</f>
        <v/>
      </c>
      <c r="X1428" s="55" t="str">
        <f>IF(AND(B1428&gt;='IN-NX'!$P$3,B1428&lt;='IN-NX'!$Q$3,'IN-NX'!$D$7=D1428,OR(LEFT(TH!L1428,2)="15",LEFT(TH!M1428,2)="15")),"x","")</f>
        <v/>
      </c>
      <c r="Y1428" s="55" t="str">
        <f>IF(AND(OR(LEFT(TH!L1428,2)="15",LEFT(TH!M1428,2)="15"),'152-CT'!$J$8=TH!F1428),"x","")</f>
        <v/>
      </c>
      <c r="Z1428" s="55" t="str">
        <f>IF(AND(OR(LEFT(TH!L1428,2)="15",LEFT(TH!M1428,2)="15"),TK!$E$7=TH!F1428),"x","")</f>
        <v/>
      </c>
      <c r="AA1428" s="55" t="str">
        <f>IF(AND(B1428&lt;=NKC!$N$8,B1428&gt;=NKC!$M$8),"x","")</f>
        <v/>
      </c>
    </row>
    <row r="1429" spans="1:27" ht="15.75" customHeight="1">
      <c r="A1429" s="219" t="str">
        <f>IF(B1429&lt;&gt;"",IF(AND(B1429&gt;=_TM1,B1429&lt;=_TM2,OR(TH!L1429="1111",TH!M1429="1111")),TH!D1429,""),"")</f>
        <v/>
      </c>
      <c r="B1429" s="36" t="str">
        <f t="shared" si="57"/>
        <v/>
      </c>
      <c r="C1429" s="37"/>
      <c r="D1429" s="37"/>
      <c r="E1429" s="37"/>
      <c r="F1429" s="40"/>
      <c r="G1429" s="40"/>
      <c r="H1429" s="45"/>
      <c r="I1429" s="277"/>
      <c r="J1429" s="277"/>
      <c r="K1429" s="38"/>
      <c r="L1429" s="39"/>
      <c r="M1429" s="39"/>
      <c r="N1429" s="55" t="str">
        <f>IF(AND('331-CT'!$E$7=TH!H1429,OR(L1429="331",M1429="331")),"x","")</f>
        <v/>
      </c>
      <c r="O1429" s="55" t="str">
        <f>IF(AND($B1429&gt;='111'!$N$11,$B1429&lt;='111'!$O$11,OR($L1429=$O$7,$M1429=$O$7)),"x","")</f>
        <v/>
      </c>
      <c r="P1429" s="55" t="str">
        <f>IF(AND($L1429=$O$7,$B1429&lt;'111'!$N$11),"x","")</f>
        <v/>
      </c>
      <c r="Q1429" s="55" t="str">
        <f>IF(AND($M1429=$O$7,$B1429&lt;'111'!$N$11),"x","")</f>
        <v/>
      </c>
      <c r="R1429" s="55" t="str">
        <f>IF(ISERROR(FIND('112'!$M$9,G1429,1)),"",IF((AND(FIND('112'!$M$9,G1429,1)&gt;=1,$B1429&gt;='112'!$N$8,$B1429&lt;='112'!$O$8,OR($L1429='112'!$I$6,$M1429='112'!$I$6))),"x",""))</f>
        <v/>
      </c>
      <c r="S1429" s="55" t="str">
        <f>IF(ISERROR(FIND('112'!$M$9,G1429,1)),"",IF((AND(LEFT(G1429,2)=LEFT('112'!$M$9,2),B1429&lt;'112'!$N$8,$L1429='112'!$I$6)),"x",""))</f>
        <v/>
      </c>
      <c r="T1429" s="55" t="str">
        <f>IF(ISERROR(FIND('112'!$M$9,G1429,1)),"",IF((AND(RIGHT(G1429,2)=RIGHT('112'!$M$9,2),B1429&lt;'112'!$N$8,$M1429='112'!$I$6)),"x",""))</f>
        <v/>
      </c>
      <c r="U1429" s="55" t="str">
        <f>IF(AND('3411-CT'!$F$9=H1429,OR(LEFT(L1429,3)=$U$7,LEFT(M1429,3)=$U$7)),"x","")</f>
        <v/>
      </c>
      <c r="V1429" s="55" t="str">
        <f>IF(OR(TH!L1429=TH!$V$7,M1429=TH!$V$7),"x","")</f>
        <v/>
      </c>
      <c r="W1429" s="55" t="str">
        <f>IF(AND(OR(L1429="131",M1429="131"),H1429='131-CT'!$E$7),"x","")</f>
        <v/>
      </c>
      <c r="X1429" s="55" t="str">
        <f>IF(AND(B1429&gt;='IN-NX'!$P$3,B1429&lt;='IN-NX'!$Q$3,'IN-NX'!$D$7=D1429,OR(LEFT(TH!L1429,2)="15",LEFT(TH!M1429,2)="15")),"x","")</f>
        <v/>
      </c>
      <c r="Y1429" s="55" t="str">
        <f>IF(AND(OR(LEFT(TH!L1429,2)="15",LEFT(TH!M1429,2)="15"),'152-CT'!$J$8=TH!F1429),"x","")</f>
        <v/>
      </c>
      <c r="Z1429" s="55" t="str">
        <f>IF(AND(OR(LEFT(TH!L1429,2)="15",LEFT(TH!M1429,2)="15"),TK!$E$7=TH!F1429),"x","")</f>
        <v/>
      </c>
      <c r="AA1429" s="55" t="str">
        <f>IF(AND(B1429&lt;=NKC!$N$8,B1429&gt;=NKC!$M$8),"x","")</f>
        <v/>
      </c>
    </row>
    <row r="1430" spans="1:27" ht="15.75" customHeight="1">
      <c r="A1430" s="219" t="str">
        <f>IF(B1430&lt;&gt;"",IF(AND(B1430&gt;=_TM1,B1430&lt;=_TM2,OR(TH!L1430="1111",TH!M1430="1111")),TH!D1430,""),"")</f>
        <v/>
      </c>
      <c r="B1430" s="36" t="str">
        <f t="shared" si="57"/>
        <v/>
      </c>
      <c r="C1430" s="37"/>
      <c r="D1430" s="37"/>
      <c r="E1430" s="37"/>
      <c r="F1430" s="40"/>
      <c r="G1430" s="40"/>
      <c r="H1430" s="45"/>
      <c r="I1430" s="277"/>
      <c r="J1430" s="277"/>
      <c r="K1430" s="38"/>
      <c r="L1430" s="39"/>
      <c r="M1430" s="39"/>
      <c r="N1430" s="55" t="str">
        <f>IF(AND('331-CT'!$E$7=TH!H1430,OR(L1430="331",M1430="331")),"x","")</f>
        <v/>
      </c>
      <c r="O1430" s="55" t="str">
        <f>IF(AND($B1430&gt;='111'!$N$11,$B1430&lt;='111'!$O$11,OR($L1430=$O$7,$M1430=$O$7)),"x","")</f>
        <v/>
      </c>
      <c r="P1430" s="55" t="str">
        <f>IF(AND($L1430=$O$7,$B1430&lt;'111'!$N$11),"x","")</f>
        <v/>
      </c>
      <c r="Q1430" s="55" t="str">
        <f>IF(AND($M1430=$O$7,$B1430&lt;'111'!$N$11),"x","")</f>
        <v/>
      </c>
      <c r="R1430" s="55" t="str">
        <f>IF(ISERROR(FIND('112'!$M$9,G1430,1)),"",IF((AND(FIND('112'!$M$9,G1430,1)&gt;=1,$B1430&gt;='112'!$N$8,$B1430&lt;='112'!$O$8,OR($L1430='112'!$I$6,$M1430='112'!$I$6))),"x",""))</f>
        <v/>
      </c>
      <c r="S1430" s="55" t="str">
        <f>IF(ISERROR(FIND('112'!$M$9,G1430,1)),"",IF((AND(LEFT(G1430,2)=LEFT('112'!$M$9,2),B1430&lt;'112'!$N$8,$L1430='112'!$I$6)),"x",""))</f>
        <v/>
      </c>
      <c r="T1430" s="55" t="str">
        <f>IF(ISERROR(FIND('112'!$M$9,G1430,1)),"",IF((AND(RIGHT(G1430,2)=RIGHT('112'!$M$9,2),B1430&lt;'112'!$N$8,$M1430='112'!$I$6)),"x",""))</f>
        <v/>
      </c>
      <c r="U1430" s="55" t="str">
        <f>IF(AND('3411-CT'!$F$9=H1430,OR(LEFT(L1430,3)=$U$7,LEFT(M1430,3)=$U$7)),"x","")</f>
        <v/>
      </c>
      <c r="V1430" s="55" t="str">
        <f>IF(OR(TH!L1430=TH!$V$7,M1430=TH!$V$7),"x","")</f>
        <v/>
      </c>
      <c r="W1430" s="55" t="str">
        <f>IF(AND(OR(L1430="131",M1430="131"),H1430='131-CT'!$E$7),"x","")</f>
        <v/>
      </c>
      <c r="X1430" s="55" t="str">
        <f>IF(AND(B1430&gt;='IN-NX'!$P$3,B1430&lt;='IN-NX'!$Q$3,'IN-NX'!$D$7=D1430,OR(LEFT(TH!L1430,2)="15",LEFT(TH!M1430,2)="15")),"x","")</f>
        <v/>
      </c>
      <c r="Y1430" s="55" t="str">
        <f>IF(AND(OR(LEFT(TH!L1430,2)="15",LEFT(TH!M1430,2)="15"),'152-CT'!$J$8=TH!F1430),"x","")</f>
        <v/>
      </c>
      <c r="Z1430" s="55" t="str">
        <f>IF(AND(OR(LEFT(TH!L1430,2)="15",LEFT(TH!M1430,2)="15"),TK!$E$7=TH!F1430),"x","")</f>
        <v/>
      </c>
      <c r="AA1430" s="55" t="str">
        <f>IF(AND(B1430&lt;=NKC!$N$8,B1430&gt;=NKC!$M$8),"x","")</f>
        <v/>
      </c>
    </row>
    <row r="1431" spans="1:27" ht="15.75" customHeight="1">
      <c r="A1431" s="219" t="str">
        <f>IF(B1431&lt;&gt;"",IF(AND(B1431&gt;=_TM1,B1431&lt;=_TM2,OR(TH!L1431="1111",TH!M1431="1111")),TH!D1431,""),"")</f>
        <v/>
      </c>
      <c r="B1431" s="36" t="str">
        <f t="shared" si="57"/>
        <v/>
      </c>
      <c r="C1431" s="37"/>
      <c r="D1431" s="37"/>
      <c r="E1431" s="37"/>
      <c r="F1431" s="40"/>
      <c r="G1431" s="40"/>
      <c r="H1431" s="45"/>
      <c r="I1431" s="277"/>
      <c r="J1431" s="277"/>
      <c r="K1431" s="38"/>
      <c r="L1431" s="39"/>
      <c r="M1431" s="39"/>
      <c r="N1431" s="55" t="str">
        <f>IF(AND('331-CT'!$E$7=TH!H1431,OR(L1431="331",M1431="331")),"x","")</f>
        <v/>
      </c>
      <c r="O1431" s="55" t="str">
        <f>IF(AND($B1431&gt;='111'!$N$11,$B1431&lt;='111'!$O$11,OR($L1431=$O$7,$M1431=$O$7)),"x","")</f>
        <v/>
      </c>
      <c r="P1431" s="55" t="str">
        <f>IF(AND($L1431=$O$7,$B1431&lt;'111'!$N$11),"x","")</f>
        <v/>
      </c>
      <c r="Q1431" s="55" t="str">
        <f>IF(AND($M1431=$O$7,$B1431&lt;'111'!$N$11),"x","")</f>
        <v/>
      </c>
      <c r="R1431" s="55" t="str">
        <f>IF(ISERROR(FIND('112'!$M$9,G1431,1)),"",IF((AND(FIND('112'!$M$9,G1431,1)&gt;=1,$B1431&gt;='112'!$N$8,$B1431&lt;='112'!$O$8,OR($L1431='112'!$I$6,$M1431='112'!$I$6))),"x",""))</f>
        <v/>
      </c>
      <c r="S1431" s="55" t="str">
        <f>IF(ISERROR(FIND('112'!$M$9,G1431,1)),"",IF((AND(LEFT(G1431,2)=LEFT('112'!$M$9,2),B1431&lt;'112'!$N$8,$L1431='112'!$I$6)),"x",""))</f>
        <v/>
      </c>
      <c r="T1431" s="55" t="str">
        <f>IF(ISERROR(FIND('112'!$M$9,G1431,1)),"",IF((AND(RIGHT(G1431,2)=RIGHT('112'!$M$9,2),B1431&lt;'112'!$N$8,$M1431='112'!$I$6)),"x",""))</f>
        <v/>
      </c>
      <c r="U1431" s="55" t="str">
        <f>IF(AND('3411-CT'!$F$9=H1431,OR(LEFT(L1431,3)=$U$7,LEFT(M1431,3)=$U$7)),"x","")</f>
        <v/>
      </c>
      <c r="V1431" s="55" t="str">
        <f>IF(OR(TH!L1431=TH!$V$7,M1431=TH!$V$7),"x","")</f>
        <v/>
      </c>
      <c r="W1431" s="55" t="str">
        <f>IF(AND(OR(L1431="131",M1431="131"),H1431='131-CT'!$E$7),"x","")</f>
        <v/>
      </c>
      <c r="X1431" s="55" t="str">
        <f>IF(AND(B1431&gt;='IN-NX'!$P$3,B1431&lt;='IN-NX'!$Q$3,'IN-NX'!$D$7=D1431,OR(LEFT(TH!L1431,2)="15",LEFT(TH!M1431,2)="15")),"x","")</f>
        <v/>
      </c>
      <c r="Y1431" s="55" t="str">
        <f>IF(AND(OR(LEFT(TH!L1431,2)="15",LEFT(TH!M1431,2)="15"),'152-CT'!$J$8=TH!F1431),"x","")</f>
        <v/>
      </c>
      <c r="Z1431" s="55" t="str">
        <f>IF(AND(OR(LEFT(TH!L1431,2)="15",LEFT(TH!M1431,2)="15"),TK!$E$7=TH!F1431),"x","")</f>
        <v/>
      </c>
      <c r="AA1431" s="55" t="str">
        <f>IF(AND(B1431&lt;=NKC!$N$8,B1431&gt;=NKC!$M$8),"x","")</f>
        <v/>
      </c>
    </row>
    <row r="1432" spans="1:27" ht="15.75" customHeight="1">
      <c r="A1432" s="219" t="str">
        <f>IF(B1432&lt;&gt;"",IF(AND(B1432&gt;=_TM1,B1432&lt;=_TM2,OR(TH!L1432="1111",TH!M1432="1111")),TH!D1432,""),"")</f>
        <v/>
      </c>
      <c r="B1432" s="36" t="str">
        <f t="shared" si="57"/>
        <v/>
      </c>
      <c r="C1432" s="37"/>
      <c r="D1432" s="37"/>
      <c r="E1432" s="37"/>
      <c r="F1432" s="40"/>
      <c r="G1432" s="40"/>
      <c r="H1432" s="45"/>
      <c r="I1432" s="277"/>
      <c r="J1432" s="277"/>
      <c r="K1432" s="38"/>
      <c r="L1432" s="39"/>
      <c r="M1432" s="39"/>
      <c r="N1432" s="55" t="str">
        <f>IF(AND('331-CT'!$E$7=TH!H1432,OR(L1432="331",M1432="331")),"x","")</f>
        <v/>
      </c>
      <c r="O1432" s="55" t="str">
        <f>IF(AND($B1432&gt;='111'!$N$11,$B1432&lt;='111'!$O$11,OR($L1432=$O$7,$M1432=$O$7)),"x","")</f>
        <v/>
      </c>
      <c r="P1432" s="55" t="str">
        <f>IF(AND($L1432=$O$7,$B1432&lt;'111'!$N$11),"x","")</f>
        <v/>
      </c>
      <c r="Q1432" s="55" t="str">
        <f>IF(AND($M1432=$O$7,$B1432&lt;'111'!$N$11),"x","")</f>
        <v/>
      </c>
      <c r="R1432" s="55" t="str">
        <f>IF(ISERROR(FIND('112'!$M$9,G1432,1)),"",IF((AND(FIND('112'!$M$9,G1432,1)&gt;=1,$B1432&gt;='112'!$N$8,$B1432&lt;='112'!$O$8,OR($L1432='112'!$I$6,$M1432='112'!$I$6))),"x",""))</f>
        <v/>
      </c>
      <c r="S1432" s="55" t="str">
        <f>IF(ISERROR(FIND('112'!$M$9,G1432,1)),"",IF((AND(LEFT(G1432,2)=LEFT('112'!$M$9,2),B1432&lt;'112'!$N$8,$L1432='112'!$I$6)),"x",""))</f>
        <v/>
      </c>
      <c r="T1432" s="55" t="str">
        <f>IF(ISERROR(FIND('112'!$M$9,G1432,1)),"",IF((AND(RIGHT(G1432,2)=RIGHT('112'!$M$9,2),B1432&lt;'112'!$N$8,$M1432='112'!$I$6)),"x",""))</f>
        <v/>
      </c>
      <c r="U1432" s="55" t="str">
        <f>IF(AND('3411-CT'!$F$9=H1432,OR(LEFT(L1432,3)=$U$7,LEFT(M1432,3)=$U$7)),"x","")</f>
        <v/>
      </c>
      <c r="V1432" s="55" t="str">
        <f>IF(OR(TH!L1432=TH!$V$7,M1432=TH!$V$7),"x","")</f>
        <v/>
      </c>
      <c r="W1432" s="55" t="str">
        <f>IF(AND(OR(L1432="131",M1432="131"),H1432='131-CT'!$E$7),"x","")</f>
        <v/>
      </c>
      <c r="X1432" s="55" t="str">
        <f>IF(AND(B1432&gt;='IN-NX'!$P$3,B1432&lt;='IN-NX'!$Q$3,'IN-NX'!$D$7=D1432,OR(LEFT(TH!L1432,2)="15",LEFT(TH!M1432,2)="15")),"x","")</f>
        <v/>
      </c>
      <c r="Y1432" s="55" t="str">
        <f>IF(AND(OR(LEFT(TH!L1432,2)="15",LEFT(TH!M1432,2)="15"),'152-CT'!$J$8=TH!F1432),"x","")</f>
        <v/>
      </c>
      <c r="Z1432" s="55" t="str">
        <f>IF(AND(OR(LEFT(TH!L1432,2)="15",LEFT(TH!M1432,2)="15"),TK!$E$7=TH!F1432),"x","")</f>
        <v/>
      </c>
      <c r="AA1432" s="55" t="str">
        <f>IF(AND(B1432&lt;=NKC!$N$8,B1432&gt;=NKC!$M$8),"x","")</f>
        <v/>
      </c>
    </row>
    <row r="1433" spans="1:27" ht="15.75" customHeight="1">
      <c r="A1433" s="219" t="str">
        <f>IF(B1433&lt;&gt;"",IF(AND(B1433&gt;=_TM1,B1433&lt;=_TM2,OR(TH!L1433="1111",TH!M1433="1111")),TH!D1433,""),"")</f>
        <v/>
      </c>
      <c r="B1433" s="36" t="str">
        <f t="shared" si="57"/>
        <v/>
      </c>
      <c r="C1433" s="37"/>
      <c r="D1433" s="37"/>
      <c r="E1433" s="37"/>
      <c r="F1433" s="40"/>
      <c r="G1433" s="40"/>
      <c r="H1433" s="45"/>
      <c r="I1433" s="277"/>
      <c r="J1433" s="277"/>
      <c r="K1433" s="38"/>
      <c r="L1433" s="39"/>
      <c r="M1433" s="39"/>
      <c r="N1433" s="55" t="str">
        <f>IF(AND('331-CT'!$E$7=TH!H1433,OR(L1433="331",M1433="331")),"x","")</f>
        <v/>
      </c>
      <c r="O1433" s="55" t="str">
        <f>IF(AND($B1433&gt;='111'!$N$11,$B1433&lt;='111'!$O$11,OR($L1433=$O$7,$M1433=$O$7)),"x","")</f>
        <v/>
      </c>
      <c r="P1433" s="55" t="str">
        <f>IF(AND($L1433=$O$7,$B1433&lt;'111'!$N$11),"x","")</f>
        <v/>
      </c>
      <c r="Q1433" s="55" t="str">
        <f>IF(AND($M1433=$O$7,$B1433&lt;'111'!$N$11),"x","")</f>
        <v/>
      </c>
      <c r="R1433" s="55" t="str">
        <f>IF(ISERROR(FIND('112'!$M$9,G1433,1)),"",IF((AND(FIND('112'!$M$9,G1433,1)&gt;=1,$B1433&gt;='112'!$N$8,$B1433&lt;='112'!$O$8,OR($L1433='112'!$I$6,$M1433='112'!$I$6))),"x",""))</f>
        <v/>
      </c>
      <c r="S1433" s="55" t="str">
        <f>IF(ISERROR(FIND('112'!$M$9,G1433,1)),"",IF((AND(LEFT(G1433,2)=LEFT('112'!$M$9,2),B1433&lt;'112'!$N$8,$L1433='112'!$I$6)),"x",""))</f>
        <v/>
      </c>
      <c r="T1433" s="55" t="str">
        <f>IF(ISERROR(FIND('112'!$M$9,G1433,1)),"",IF((AND(RIGHT(G1433,2)=RIGHT('112'!$M$9,2),B1433&lt;'112'!$N$8,$M1433='112'!$I$6)),"x",""))</f>
        <v/>
      </c>
      <c r="U1433" s="55" t="str">
        <f>IF(AND('3411-CT'!$F$9=H1433,OR(LEFT(L1433,3)=$U$7,LEFT(M1433,3)=$U$7)),"x","")</f>
        <v/>
      </c>
      <c r="V1433" s="55" t="str">
        <f>IF(OR(TH!L1433=TH!$V$7,M1433=TH!$V$7),"x","")</f>
        <v/>
      </c>
      <c r="W1433" s="55" t="str">
        <f>IF(AND(OR(L1433="131",M1433="131"),H1433='131-CT'!$E$7),"x","")</f>
        <v/>
      </c>
      <c r="X1433" s="55" t="str">
        <f>IF(AND(B1433&gt;='IN-NX'!$P$3,B1433&lt;='IN-NX'!$Q$3,'IN-NX'!$D$7=D1433,OR(LEFT(TH!L1433,2)="15",LEFT(TH!M1433,2)="15")),"x","")</f>
        <v/>
      </c>
      <c r="Y1433" s="55" t="str">
        <f>IF(AND(OR(LEFT(TH!L1433,2)="15",LEFT(TH!M1433,2)="15"),'152-CT'!$J$8=TH!F1433),"x","")</f>
        <v/>
      </c>
      <c r="Z1433" s="55" t="str">
        <f>IF(AND(OR(LEFT(TH!L1433,2)="15",LEFT(TH!M1433,2)="15"),TK!$E$7=TH!F1433),"x","")</f>
        <v/>
      </c>
      <c r="AA1433" s="55" t="str">
        <f>IF(AND(B1433&lt;=NKC!$N$8,B1433&gt;=NKC!$M$8),"x","")</f>
        <v/>
      </c>
    </row>
    <row r="1434" spans="1:27" ht="15.75" customHeight="1">
      <c r="A1434" s="219" t="str">
        <f>IF(B1434&lt;&gt;"",IF(AND(B1434&gt;=_TM1,B1434&lt;=_TM2,OR(TH!L1434="1111",TH!M1434="1111")),TH!D1434,""),"")</f>
        <v/>
      </c>
      <c r="B1434" s="36" t="str">
        <f t="shared" si="57"/>
        <v/>
      </c>
      <c r="C1434" s="37"/>
      <c r="D1434" s="37"/>
      <c r="E1434" s="37"/>
      <c r="F1434" s="40"/>
      <c r="G1434" s="40"/>
      <c r="H1434" s="45"/>
      <c r="I1434" s="277"/>
      <c r="J1434" s="277"/>
      <c r="K1434" s="38"/>
      <c r="L1434" s="39"/>
      <c r="M1434" s="39"/>
      <c r="N1434" s="55" t="str">
        <f>IF(AND('331-CT'!$E$7=TH!H1434,OR(L1434="331",M1434="331")),"x","")</f>
        <v/>
      </c>
      <c r="O1434" s="55" t="str">
        <f>IF(AND($B1434&gt;='111'!$N$11,$B1434&lt;='111'!$O$11,OR($L1434=$O$7,$M1434=$O$7)),"x","")</f>
        <v/>
      </c>
      <c r="P1434" s="55" t="str">
        <f>IF(AND($L1434=$O$7,$B1434&lt;'111'!$N$11),"x","")</f>
        <v/>
      </c>
      <c r="Q1434" s="55" t="str">
        <f>IF(AND($M1434=$O$7,$B1434&lt;'111'!$N$11),"x","")</f>
        <v/>
      </c>
      <c r="R1434" s="55" t="str">
        <f>IF(ISERROR(FIND('112'!$M$9,G1434,1)),"",IF((AND(FIND('112'!$M$9,G1434,1)&gt;=1,$B1434&gt;='112'!$N$8,$B1434&lt;='112'!$O$8,OR($L1434='112'!$I$6,$M1434='112'!$I$6))),"x",""))</f>
        <v/>
      </c>
      <c r="S1434" s="55" t="str">
        <f>IF(ISERROR(FIND('112'!$M$9,G1434,1)),"",IF((AND(LEFT(G1434,2)=LEFT('112'!$M$9,2),B1434&lt;'112'!$N$8,$L1434='112'!$I$6)),"x",""))</f>
        <v/>
      </c>
      <c r="T1434" s="55" t="str">
        <f>IF(ISERROR(FIND('112'!$M$9,G1434,1)),"",IF((AND(RIGHT(G1434,2)=RIGHT('112'!$M$9,2),B1434&lt;'112'!$N$8,$M1434='112'!$I$6)),"x",""))</f>
        <v/>
      </c>
      <c r="U1434" s="55" t="str">
        <f>IF(AND('3411-CT'!$F$9=H1434,OR(LEFT(L1434,3)=$U$7,LEFT(M1434,3)=$U$7)),"x","")</f>
        <v/>
      </c>
      <c r="V1434" s="55" t="str">
        <f>IF(OR(TH!L1434=TH!$V$7,M1434=TH!$V$7),"x","")</f>
        <v/>
      </c>
      <c r="W1434" s="55" t="str">
        <f>IF(AND(OR(L1434="131",M1434="131"),H1434='131-CT'!$E$7),"x","")</f>
        <v/>
      </c>
      <c r="X1434" s="55" t="str">
        <f>IF(AND(B1434&gt;='IN-NX'!$P$3,B1434&lt;='IN-NX'!$Q$3,'IN-NX'!$D$7=D1434,OR(LEFT(TH!L1434,2)="15",LEFT(TH!M1434,2)="15")),"x","")</f>
        <v/>
      </c>
      <c r="Y1434" s="55" t="str">
        <f>IF(AND(OR(LEFT(TH!L1434,2)="15",LEFT(TH!M1434,2)="15"),'152-CT'!$J$8=TH!F1434),"x","")</f>
        <v/>
      </c>
      <c r="Z1434" s="55" t="str">
        <f>IF(AND(OR(LEFT(TH!L1434,2)="15",LEFT(TH!M1434,2)="15"),TK!$E$7=TH!F1434),"x","")</f>
        <v/>
      </c>
      <c r="AA1434" s="55" t="str">
        <f>IF(AND(B1434&lt;=NKC!$N$8,B1434&gt;=NKC!$M$8),"x","")</f>
        <v/>
      </c>
    </row>
    <row r="1435" spans="1:27" s="226" customFormat="1" ht="15.75" customHeight="1">
      <c r="A1435" s="219" t="str">
        <f>IF(B1435&lt;&gt;"",IF(AND(B1435&gt;=_TM1,B1435&lt;=_TM2,OR(TH!L1435="1111",TH!M1435="1111")),TH!D1435,""),"")</f>
        <v/>
      </c>
      <c r="B1435" s="36" t="str">
        <f t="shared" si="57"/>
        <v/>
      </c>
      <c r="C1435" s="37"/>
      <c r="D1435" s="205"/>
      <c r="E1435" s="205"/>
      <c r="F1435" s="206"/>
      <c r="G1435" s="206"/>
      <c r="H1435" s="207"/>
      <c r="I1435" s="277"/>
      <c r="J1435" s="277"/>
      <c r="K1435" s="38"/>
      <c r="L1435" s="208"/>
      <c r="M1435" s="208"/>
      <c r="N1435" s="55" t="str">
        <f>IF(AND('331-CT'!$E$7=TH!H1435,OR(L1435="331",M1435="331")),"x","")</f>
        <v/>
      </c>
      <c r="O1435" s="55" t="str">
        <f>IF(AND($B1435&gt;='111'!$N$11,$B1435&lt;='111'!$O$11,OR($L1435=$O$7,$M1435=$O$7)),"x","")</f>
        <v/>
      </c>
      <c r="P1435" s="55" t="str">
        <f>IF(AND($L1435=$O$7,$B1435&lt;'111'!$N$11),"x","")</f>
        <v/>
      </c>
      <c r="Q1435" s="55" t="str">
        <f>IF(AND($M1435=$O$7,$B1435&lt;'111'!$N$11),"x","")</f>
        <v/>
      </c>
      <c r="R1435" s="55" t="str">
        <f>IF(ISERROR(FIND('112'!$M$9,G1435,1)),"",IF((AND(FIND('112'!$M$9,G1435,1)&gt;=1,$B1435&gt;='112'!$N$8,$B1435&lt;='112'!$O$8,OR($L1435='112'!$I$6,$M1435='112'!$I$6))),"x",""))</f>
        <v/>
      </c>
      <c r="S1435" s="55" t="str">
        <f>IF(ISERROR(FIND('112'!$M$9,G1435,1)),"",IF((AND(LEFT(G1435,2)=LEFT('112'!$M$9,2),B1435&lt;'112'!$N$8,$L1435='112'!$I$6)),"x",""))</f>
        <v/>
      </c>
      <c r="T1435" s="55" t="str">
        <f>IF(ISERROR(FIND('112'!$M$9,G1435,1)),"",IF((AND(RIGHT(G1435,2)=RIGHT('112'!$M$9,2),B1435&lt;'112'!$N$8,$M1435='112'!$I$6)),"x",""))</f>
        <v/>
      </c>
      <c r="U1435" s="55" t="str">
        <f>IF(AND('3411-CT'!$F$9=H1435,OR(LEFT(L1435,3)=$U$7,LEFT(M1435,3)=$U$7)),"x","")</f>
        <v/>
      </c>
      <c r="V1435" s="55" t="str">
        <f>IF(OR(TH!L1435=TH!$V$7,M1435=TH!$V$7),"x","")</f>
        <v/>
      </c>
      <c r="W1435" s="55" t="str">
        <f>IF(AND(OR(L1435="131",M1435="131"),H1435='131-CT'!$E$7),"x","")</f>
        <v/>
      </c>
      <c r="X1435" s="55" t="str">
        <f>IF(AND(B1435&gt;='IN-NX'!$P$3,B1435&lt;='IN-NX'!$Q$3,'IN-NX'!$D$7=D1435,OR(LEFT(TH!L1435,2)="15",LEFT(TH!M1435,2)="15")),"x","")</f>
        <v/>
      </c>
      <c r="Y1435" s="55" t="str">
        <f>IF(AND(OR(LEFT(TH!L1435,2)="15",LEFT(TH!M1435,2)="15"),'152-CT'!$J$8=TH!F1435),"x","")</f>
        <v/>
      </c>
      <c r="Z1435" s="55" t="str">
        <f>IF(AND(OR(LEFT(TH!L1435,2)="15",LEFT(TH!M1435,2)="15"),TK!$E$7=TH!F1435),"x","")</f>
        <v/>
      </c>
      <c r="AA1435" s="55" t="str">
        <f>IF(AND(B1435&lt;=NKC!$N$8,B1435&gt;=NKC!$M$8),"x","")</f>
        <v/>
      </c>
    </row>
    <row r="1436" spans="1:27" s="226" customFormat="1" ht="15.75" customHeight="1">
      <c r="A1436" s="219" t="str">
        <f>IF(B1436&lt;&gt;"",IF(AND(B1436&gt;=_TM1,B1436&lt;=_TM2,OR(TH!L1436="1111",TH!M1436="1111")),TH!D1436,""),"")</f>
        <v/>
      </c>
      <c r="B1436" s="36" t="str">
        <f t="shared" si="57"/>
        <v/>
      </c>
      <c r="C1436" s="37"/>
      <c r="D1436" s="205"/>
      <c r="E1436" s="205"/>
      <c r="F1436" s="206"/>
      <c r="G1436" s="206"/>
      <c r="H1436" s="207"/>
      <c r="I1436" s="277"/>
      <c r="J1436" s="277"/>
      <c r="K1436" s="38"/>
      <c r="L1436" s="208"/>
      <c r="M1436" s="208"/>
      <c r="N1436" s="55" t="str">
        <f>IF(AND('331-CT'!$E$7=TH!H1436,OR(L1436="331",M1436="331")),"x","")</f>
        <v/>
      </c>
      <c r="O1436" s="55" t="str">
        <f>IF(AND($B1436&gt;='111'!$N$11,$B1436&lt;='111'!$O$11,OR($L1436=$O$7,$M1436=$O$7)),"x","")</f>
        <v/>
      </c>
      <c r="P1436" s="55" t="str">
        <f>IF(AND($L1436=$O$7,$B1436&lt;'111'!$N$11),"x","")</f>
        <v/>
      </c>
      <c r="Q1436" s="55" t="str">
        <f>IF(AND($M1436=$O$7,$B1436&lt;'111'!$N$11),"x","")</f>
        <v/>
      </c>
      <c r="R1436" s="55" t="str">
        <f>IF(ISERROR(FIND('112'!$M$9,G1436,1)),"",IF((AND(FIND('112'!$M$9,G1436,1)&gt;=1,$B1436&gt;='112'!$N$8,$B1436&lt;='112'!$O$8,OR($L1436='112'!$I$6,$M1436='112'!$I$6))),"x",""))</f>
        <v/>
      </c>
      <c r="S1436" s="55" t="str">
        <f>IF(ISERROR(FIND('112'!$M$9,G1436,1)),"",IF((AND(LEFT(G1436,2)=LEFT('112'!$M$9,2),B1436&lt;'112'!$N$8,$L1436='112'!$I$6)),"x",""))</f>
        <v/>
      </c>
      <c r="T1436" s="55" t="str">
        <f>IF(ISERROR(FIND('112'!$M$9,G1436,1)),"",IF((AND(RIGHT(G1436,2)=RIGHT('112'!$M$9,2),B1436&lt;'112'!$N$8,$M1436='112'!$I$6)),"x",""))</f>
        <v/>
      </c>
      <c r="U1436" s="55" t="str">
        <f>IF(AND('3411-CT'!$F$9=H1436,OR(LEFT(L1436,3)=$U$7,LEFT(M1436,3)=$U$7)),"x","")</f>
        <v/>
      </c>
      <c r="V1436" s="55" t="str">
        <f>IF(OR(TH!L1436=TH!$V$7,M1436=TH!$V$7),"x","")</f>
        <v/>
      </c>
      <c r="W1436" s="55" t="str">
        <f>IF(AND(OR(L1436="131",M1436="131"),H1436='131-CT'!$E$7),"x","")</f>
        <v/>
      </c>
      <c r="X1436" s="55" t="str">
        <f>IF(AND(B1436&gt;='IN-NX'!$P$3,B1436&lt;='IN-NX'!$Q$3,'IN-NX'!$D$7=D1436,OR(LEFT(TH!L1436,2)="15",LEFT(TH!M1436,2)="15")),"x","")</f>
        <v/>
      </c>
      <c r="Y1436" s="55" t="str">
        <f>IF(AND(OR(LEFT(TH!L1436,2)="15",LEFT(TH!M1436,2)="15"),'152-CT'!$J$8=TH!F1436),"x","")</f>
        <v/>
      </c>
      <c r="Z1436" s="55" t="str">
        <f>IF(AND(OR(LEFT(TH!L1436,2)="15",LEFT(TH!M1436,2)="15"),TK!$E$7=TH!F1436),"x","")</f>
        <v/>
      </c>
      <c r="AA1436" s="55" t="str">
        <f>IF(AND(B1436&lt;=NKC!$N$8,B1436&gt;=NKC!$M$8),"x","")</f>
        <v/>
      </c>
    </row>
    <row r="1437" spans="1:27" s="226" customFormat="1" ht="15.75" customHeight="1">
      <c r="A1437" s="219" t="str">
        <f>IF(B1437&lt;&gt;"",IF(AND(B1437&gt;=_TM1,B1437&lt;=_TM2,OR(TH!L1437="1111",TH!M1437="1111")),TH!D1437,""),"")</f>
        <v/>
      </c>
      <c r="B1437" s="36" t="str">
        <f t="shared" si="57"/>
        <v/>
      </c>
      <c r="C1437" s="37"/>
      <c r="D1437" s="205"/>
      <c r="E1437" s="205"/>
      <c r="F1437" s="206"/>
      <c r="G1437" s="206"/>
      <c r="H1437" s="207"/>
      <c r="I1437" s="277"/>
      <c r="J1437" s="277"/>
      <c r="K1437" s="38"/>
      <c r="L1437" s="208"/>
      <c r="M1437" s="208"/>
      <c r="N1437" s="55" t="str">
        <f>IF(AND('331-CT'!$E$7=TH!H1437,OR(L1437="331",M1437="331")),"x","")</f>
        <v/>
      </c>
      <c r="O1437" s="55" t="str">
        <f>IF(AND($B1437&gt;='111'!$N$11,$B1437&lt;='111'!$O$11,OR($L1437=$O$7,$M1437=$O$7)),"x","")</f>
        <v/>
      </c>
      <c r="P1437" s="55" t="str">
        <f>IF(AND($L1437=$O$7,$B1437&lt;'111'!$N$11),"x","")</f>
        <v/>
      </c>
      <c r="Q1437" s="55" t="str">
        <f>IF(AND($M1437=$O$7,$B1437&lt;'111'!$N$11),"x","")</f>
        <v/>
      </c>
      <c r="R1437" s="55" t="str">
        <f>IF(ISERROR(FIND('112'!$M$9,G1437,1)),"",IF((AND(FIND('112'!$M$9,G1437,1)&gt;=1,$B1437&gt;='112'!$N$8,$B1437&lt;='112'!$O$8,OR($L1437='112'!$I$6,$M1437='112'!$I$6))),"x",""))</f>
        <v/>
      </c>
      <c r="S1437" s="55" t="str">
        <f>IF(ISERROR(FIND('112'!$M$9,G1437,1)),"",IF((AND(LEFT(G1437,2)=LEFT('112'!$M$9,2),B1437&lt;'112'!$N$8,$L1437='112'!$I$6)),"x",""))</f>
        <v/>
      </c>
      <c r="T1437" s="55" t="str">
        <f>IF(ISERROR(FIND('112'!$M$9,G1437,1)),"",IF((AND(RIGHT(G1437,2)=RIGHT('112'!$M$9,2),B1437&lt;'112'!$N$8,$M1437='112'!$I$6)),"x",""))</f>
        <v/>
      </c>
      <c r="U1437" s="55" t="str">
        <f>IF(AND('3411-CT'!$F$9=H1437,OR(LEFT(L1437,3)=$U$7,LEFT(M1437,3)=$U$7)),"x","")</f>
        <v/>
      </c>
      <c r="V1437" s="55" t="str">
        <f>IF(OR(TH!L1437=TH!$V$7,M1437=TH!$V$7),"x","")</f>
        <v/>
      </c>
      <c r="W1437" s="55" t="str">
        <f>IF(AND(OR(L1437="131",M1437="131"),H1437='131-CT'!$E$7),"x","")</f>
        <v/>
      </c>
      <c r="X1437" s="55" t="str">
        <f>IF(AND(B1437&gt;='IN-NX'!$P$3,B1437&lt;='IN-NX'!$Q$3,'IN-NX'!$D$7=D1437,OR(LEFT(TH!L1437,2)="15",LEFT(TH!M1437,2)="15")),"x","")</f>
        <v/>
      </c>
      <c r="Y1437" s="55" t="str">
        <f>IF(AND(OR(LEFT(TH!L1437,2)="15",LEFT(TH!M1437,2)="15"),'152-CT'!$J$8=TH!F1437),"x","")</f>
        <v/>
      </c>
      <c r="Z1437" s="55" t="str">
        <f>IF(AND(OR(LEFT(TH!L1437,2)="15",LEFT(TH!M1437,2)="15"),TK!$E$7=TH!F1437),"x","")</f>
        <v/>
      </c>
      <c r="AA1437" s="55" t="str">
        <f>IF(AND(B1437&lt;=NKC!$N$8,B1437&gt;=NKC!$M$8),"x","")</f>
        <v/>
      </c>
    </row>
    <row r="1438" spans="1:27" s="226" customFormat="1" ht="15.75" customHeight="1">
      <c r="A1438" s="219" t="str">
        <f>IF(B1438&lt;&gt;"",IF(AND(B1438&gt;=_TM1,B1438&lt;=_TM2,OR(TH!L1438="1111",TH!M1438="1111")),TH!D1438,""),"")</f>
        <v/>
      </c>
      <c r="B1438" s="36" t="str">
        <f t="shared" si="57"/>
        <v/>
      </c>
      <c r="C1438" s="37"/>
      <c r="D1438" s="37"/>
      <c r="E1438" s="37"/>
      <c r="F1438" s="40"/>
      <c r="G1438" s="580"/>
      <c r="H1438" s="225"/>
      <c r="I1438" s="278"/>
      <c r="J1438" s="278"/>
      <c r="K1438" s="215"/>
      <c r="L1438" s="208"/>
      <c r="M1438" s="39"/>
      <c r="N1438" s="55" t="str">
        <f>IF(AND('331-CT'!$E$7=TH!H1438,OR(L1438="331",M1438="331")),"x","")</f>
        <v/>
      </c>
      <c r="O1438" s="55" t="str">
        <f>IF(AND($B1438&gt;='111'!$N$11,$B1438&lt;='111'!$O$11,OR($L1438=$O$7,$M1438=$O$7)),"x","")</f>
        <v/>
      </c>
      <c r="P1438" s="55" t="str">
        <f>IF(AND($L1438=$O$7,$B1438&lt;'111'!$N$11),"x","")</f>
        <v/>
      </c>
      <c r="Q1438" s="55" t="str">
        <f>IF(AND($M1438=$O$7,$B1438&lt;'111'!$N$11),"x","")</f>
        <v/>
      </c>
      <c r="R1438" s="55" t="str">
        <f>IF(ISERROR(FIND('112'!$M$9,G1438,1)),"",IF((AND(FIND('112'!$M$9,G1438,1)&gt;=1,$B1438&gt;='112'!$N$8,$B1438&lt;='112'!$O$8,OR($L1438='112'!$I$6,$M1438='112'!$I$6))),"x",""))</f>
        <v/>
      </c>
      <c r="S1438" s="55" t="str">
        <f>IF(ISERROR(FIND('112'!$M$9,G1438,1)),"",IF((AND(LEFT(G1438,2)=LEFT('112'!$M$9,2),B1438&lt;'112'!$N$8,$L1438='112'!$I$6)),"x",""))</f>
        <v/>
      </c>
      <c r="T1438" s="55" t="str">
        <f>IF(ISERROR(FIND('112'!$M$9,G1438,1)),"",IF((AND(RIGHT(G1438,2)=RIGHT('112'!$M$9,2),B1438&lt;'112'!$N$8,$M1438='112'!$I$6)),"x",""))</f>
        <v/>
      </c>
      <c r="U1438" s="55" t="str">
        <f>IF(AND('3411-CT'!$F$9=H1438,OR(LEFT(L1438,3)=$U$7,LEFT(M1438,3)=$U$7)),"x","")</f>
        <v/>
      </c>
      <c r="V1438" s="55" t="str">
        <f>IF(OR(TH!L1438=TH!$V$7,M1438=TH!$V$7),"x","")</f>
        <v/>
      </c>
      <c r="W1438" s="55" t="str">
        <f>IF(AND(OR(L1438="131",M1438="131"),H1438='131-CT'!$E$7),"x","")</f>
        <v/>
      </c>
      <c r="X1438" s="55" t="str">
        <f>IF(AND(B1438&gt;='IN-NX'!$P$3,B1438&lt;='IN-NX'!$Q$3,'IN-NX'!$D$7=D1438,OR(LEFT(TH!L1438,2)="15",LEFT(TH!M1438,2)="15")),"x","")</f>
        <v/>
      </c>
      <c r="Y1438" s="55" t="str">
        <f>IF(AND(OR(LEFT(TH!L1438,2)="15",LEFT(TH!M1438,2)="15"),'152-CT'!$J$8=TH!F1438),"x","")</f>
        <v/>
      </c>
      <c r="Z1438" s="55" t="str">
        <f>IF(AND(OR(LEFT(TH!L1438,2)="15",LEFT(TH!M1438,2)="15"),TK!$E$7=TH!F1438),"x","")</f>
        <v/>
      </c>
      <c r="AA1438" s="55" t="str">
        <f>IF(AND(B1438&lt;=NKC!$N$8,B1438&gt;=NKC!$M$8),"x","")</f>
        <v/>
      </c>
    </row>
    <row r="1439" spans="1:27" s="226" customFormat="1" ht="15.75" customHeight="1">
      <c r="A1439" s="219" t="str">
        <f>IF(B1439&lt;&gt;"",IF(AND(B1439&gt;=_TM1,B1439&lt;=_TM2,OR(TH!L1439="1111",TH!M1439="1111")),TH!D1439,""),"")</f>
        <v/>
      </c>
      <c r="B1439" s="36" t="str">
        <f t="shared" si="57"/>
        <v/>
      </c>
      <c r="C1439" s="37"/>
      <c r="D1439" s="37"/>
      <c r="E1439" s="37"/>
      <c r="F1439" s="40"/>
      <c r="G1439" s="580"/>
      <c r="H1439" s="225"/>
      <c r="I1439" s="278"/>
      <c r="J1439" s="278"/>
      <c r="K1439" s="38"/>
      <c r="L1439" s="208"/>
      <c r="M1439" s="39"/>
      <c r="N1439" s="55" t="str">
        <f>IF(AND('331-CT'!$E$7=TH!H1439,OR(L1439="331",M1439="331")),"x","")</f>
        <v/>
      </c>
      <c r="O1439" s="55" t="str">
        <f>IF(AND($B1439&gt;='111'!$N$11,$B1439&lt;='111'!$O$11,OR($L1439=$O$7,$M1439=$O$7)),"x","")</f>
        <v/>
      </c>
      <c r="P1439" s="55" t="str">
        <f>IF(AND($L1439=$O$7,$B1439&lt;'111'!$N$11),"x","")</f>
        <v/>
      </c>
      <c r="Q1439" s="55" t="str">
        <f>IF(AND($M1439=$O$7,$B1439&lt;'111'!$N$11),"x","")</f>
        <v/>
      </c>
      <c r="R1439" s="55" t="str">
        <f>IF(ISERROR(FIND('112'!$M$9,G1439,1)),"",IF((AND(FIND('112'!$M$9,G1439,1)&gt;=1,$B1439&gt;='112'!$N$8,$B1439&lt;='112'!$O$8,OR($L1439='112'!$I$6,$M1439='112'!$I$6))),"x",""))</f>
        <v/>
      </c>
      <c r="S1439" s="55" t="str">
        <f>IF(ISERROR(FIND('112'!$M$9,G1439,1)),"",IF((AND(LEFT(G1439,2)=LEFT('112'!$M$9,2),B1439&lt;'112'!$N$8,$L1439='112'!$I$6)),"x",""))</f>
        <v/>
      </c>
      <c r="T1439" s="55" t="str">
        <f>IF(ISERROR(FIND('112'!$M$9,G1439,1)),"",IF((AND(RIGHT(G1439,2)=RIGHT('112'!$M$9,2),B1439&lt;'112'!$N$8,$M1439='112'!$I$6)),"x",""))</f>
        <v/>
      </c>
      <c r="U1439" s="55" t="str">
        <f>IF(AND('3411-CT'!$F$9=H1439,OR(LEFT(L1439,3)=$U$7,LEFT(M1439,3)=$U$7)),"x","")</f>
        <v/>
      </c>
      <c r="V1439" s="55" t="str">
        <f>IF(OR(TH!L1439=TH!$V$7,M1439=TH!$V$7),"x","")</f>
        <v/>
      </c>
      <c r="W1439" s="55" t="str">
        <f>IF(AND(OR(L1439="131",M1439="131"),H1439='131-CT'!$E$7),"x","")</f>
        <v/>
      </c>
      <c r="X1439" s="55" t="str">
        <f>IF(AND(B1439&gt;='IN-NX'!$P$3,B1439&lt;='IN-NX'!$Q$3,'IN-NX'!$D$7=D1439,OR(LEFT(TH!L1439,2)="15",LEFT(TH!M1439,2)="15")),"x","")</f>
        <v/>
      </c>
      <c r="Y1439" s="55" t="str">
        <f>IF(AND(OR(LEFT(TH!L1439,2)="15",LEFT(TH!M1439,2)="15"),'152-CT'!$J$8=TH!F1439),"x","")</f>
        <v/>
      </c>
      <c r="Z1439" s="55" t="str">
        <f>IF(AND(OR(LEFT(TH!L1439,2)="15",LEFT(TH!M1439,2)="15"),TK!$E$7=TH!F1439),"x","")</f>
        <v/>
      </c>
      <c r="AA1439" s="55" t="str">
        <f>IF(AND(B1439&lt;=NKC!$N$8,B1439&gt;=NKC!$M$8),"x","")</f>
        <v/>
      </c>
    </row>
    <row r="1440" spans="1:27" s="226" customFormat="1" ht="15.75" customHeight="1">
      <c r="A1440" s="219" t="str">
        <f>IF(B1440&lt;&gt;"",IF(AND(B1440&gt;=_TM1,B1440&lt;=_TM2,OR(TH!L1440="1111",TH!M1440="1111")),TH!D1440,""),"")</f>
        <v/>
      </c>
      <c r="B1440" s="36" t="str">
        <f t="shared" si="57"/>
        <v/>
      </c>
      <c r="C1440" s="37"/>
      <c r="D1440" s="37"/>
      <c r="E1440" s="37"/>
      <c r="F1440" s="40"/>
      <c r="G1440" s="580"/>
      <c r="H1440" s="45"/>
      <c r="I1440" s="277"/>
      <c r="J1440" s="277"/>
      <c r="K1440" s="38"/>
      <c r="L1440" s="39"/>
      <c r="M1440" s="39"/>
      <c r="N1440" s="55" t="str">
        <f>IF(AND('331-CT'!$E$7=TH!H1440,OR(L1440="331",M1440="331")),"x","")</f>
        <v/>
      </c>
      <c r="O1440" s="55" t="str">
        <f>IF(AND($B1440&gt;='111'!$N$11,$B1440&lt;='111'!$O$11,OR($L1440=$O$7,$M1440=$O$7)),"x","")</f>
        <v/>
      </c>
      <c r="P1440" s="55" t="str">
        <f>IF(AND($L1440=$O$7,$B1440&lt;'111'!$N$11),"x","")</f>
        <v/>
      </c>
      <c r="Q1440" s="55" t="str">
        <f>IF(AND($M1440=$O$7,$B1440&lt;'111'!$N$11),"x","")</f>
        <v/>
      </c>
      <c r="R1440" s="55" t="str">
        <f>IF(ISERROR(FIND('112'!$M$9,G1440,1)),"",IF((AND(FIND('112'!$M$9,G1440,1)&gt;=1,$B1440&gt;='112'!$N$8,$B1440&lt;='112'!$O$8,OR($L1440='112'!$I$6,$M1440='112'!$I$6))),"x",""))</f>
        <v/>
      </c>
      <c r="S1440" s="55" t="str">
        <f>IF(ISERROR(FIND('112'!$M$9,G1440,1)),"",IF((AND(LEFT(G1440,2)=LEFT('112'!$M$9,2),B1440&lt;'112'!$N$8,$L1440='112'!$I$6)),"x",""))</f>
        <v/>
      </c>
      <c r="T1440" s="55" t="str">
        <f>IF(ISERROR(FIND('112'!$M$9,G1440,1)),"",IF((AND(RIGHT(G1440,2)=RIGHT('112'!$M$9,2),B1440&lt;'112'!$N$8,$M1440='112'!$I$6)),"x",""))</f>
        <v/>
      </c>
      <c r="U1440" s="55" t="str">
        <f>IF(AND('3411-CT'!$F$9=H1440,OR(LEFT(L1440,3)=$U$7,LEFT(M1440,3)=$U$7)),"x","")</f>
        <v/>
      </c>
      <c r="V1440" s="55" t="str">
        <f>IF(OR(TH!L1440=TH!$V$7,M1440=TH!$V$7),"x","")</f>
        <v/>
      </c>
      <c r="W1440" s="55" t="str">
        <f>IF(AND(OR(L1440="131",M1440="131"),H1440='131-CT'!$E$7),"x","")</f>
        <v/>
      </c>
      <c r="X1440" s="55" t="str">
        <f>IF(AND(B1440&gt;='IN-NX'!$P$3,B1440&lt;='IN-NX'!$Q$3,'IN-NX'!$D$7=D1440,OR(LEFT(TH!L1440,2)="15",LEFT(TH!M1440,2)="15")),"x","")</f>
        <v/>
      </c>
      <c r="Y1440" s="55" t="str">
        <f>IF(AND(OR(LEFT(TH!L1440,2)="15",LEFT(TH!M1440,2)="15"),'152-CT'!$J$8=TH!F1440),"x","")</f>
        <v/>
      </c>
      <c r="Z1440" s="55" t="str">
        <f>IF(AND(OR(LEFT(TH!L1440,2)="15",LEFT(TH!M1440,2)="15"),TK!$E$7=TH!F1440),"x","")</f>
        <v/>
      </c>
      <c r="AA1440" s="55" t="str">
        <f>IF(AND(B1440&lt;=NKC!$N$8,B1440&gt;=NKC!$M$8),"x","")</f>
        <v/>
      </c>
    </row>
    <row r="1441" spans="1:27" s="226" customFormat="1" ht="15.75" customHeight="1">
      <c r="A1441" s="219" t="str">
        <f>IF(B1441&lt;&gt;"",IF(AND(B1441&gt;=_TM1,B1441&lt;=_TM2,OR(TH!L1441="1111",TH!M1441="1111")),TH!D1441,""),"")</f>
        <v/>
      </c>
      <c r="B1441" s="36" t="str">
        <f t="shared" si="57"/>
        <v/>
      </c>
      <c r="C1441" s="37"/>
      <c r="D1441" s="37"/>
      <c r="E1441" s="37"/>
      <c r="F1441" s="40"/>
      <c r="G1441" s="580"/>
      <c r="H1441" s="45"/>
      <c r="I1441" s="277"/>
      <c r="J1441" s="277"/>
      <c r="K1441" s="38"/>
      <c r="L1441" s="39"/>
      <c r="M1441" s="39"/>
      <c r="N1441" s="55" t="str">
        <f>IF(AND('331-CT'!$E$7=TH!H1441,OR(L1441="331",M1441="331")),"x","")</f>
        <v/>
      </c>
      <c r="O1441" s="55" t="str">
        <f>IF(AND($B1441&gt;='111'!$N$11,$B1441&lt;='111'!$O$11,OR($L1441=$O$7,$M1441=$O$7)),"x","")</f>
        <v/>
      </c>
      <c r="P1441" s="55" t="str">
        <f>IF(AND($L1441=$O$7,$B1441&lt;'111'!$N$11),"x","")</f>
        <v/>
      </c>
      <c r="Q1441" s="55" t="str">
        <f>IF(AND($M1441=$O$7,$B1441&lt;'111'!$N$11),"x","")</f>
        <v/>
      </c>
      <c r="R1441" s="55" t="str">
        <f>IF(ISERROR(FIND('112'!$M$9,G1441,1)),"",IF((AND(FIND('112'!$M$9,G1441,1)&gt;=1,$B1441&gt;='112'!$N$8,$B1441&lt;='112'!$O$8,OR($L1441='112'!$I$6,$M1441='112'!$I$6))),"x",""))</f>
        <v/>
      </c>
      <c r="S1441" s="55" t="str">
        <f>IF(ISERROR(FIND('112'!$M$9,G1441,1)),"",IF((AND(LEFT(G1441,2)=LEFT('112'!$M$9,2),B1441&lt;'112'!$N$8,$L1441='112'!$I$6)),"x",""))</f>
        <v/>
      </c>
      <c r="T1441" s="55" t="str">
        <f>IF(ISERROR(FIND('112'!$M$9,G1441,1)),"",IF((AND(RIGHT(G1441,2)=RIGHT('112'!$M$9,2),B1441&lt;'112'!$N$8,$M1441='112'!$I$6)),"x",""))</f>
        <v/>
      </c>
      <c r="U1441" s="55" t="str">
        <f>IF(AND('3411-CT'!$F$9=H1441,OR(LEFT(L1441,3)=$U$7,LEFT(M1441,3)=$U$7)),"x","")</f>
        <v/>
      </c>
      <c r="V1441" s="55" t="str">
        <f>IF(OR(TH!L1441=TH!$V$7,M1441=TH!$V$7),"x","")</f>
        <v/>
      </c>
      <c r="W1441" s="55" t="str">
        <f>IF(AND(OR(L1441="131",M1441="131"),H1441='131-CT'!$E$7),"x","")</f>
        <v/>
      </c>
      <c r="X1441" s="55" t="str">
        <f>IF(AND(B1441&gt;='IN-NX'!$P$3,B1441&lt;='IN-NX'!$Q$3,'IN-NX'!$D$7=D1441,OR(LEFT(TH!L1441,2)="15",LEFT(TH!M1441,2)="15")),"x","")</f>
        <v/>
      </c>
      <c r="Y1441" s="55" t="str">
        <f>IF(AND(OR(LEFT(TH!L1441,2)="15",LEFT(TH!M1441,2)="15"),'152-CT'!$J$8=TH!F1441),"x","")</f>
        <v/>
      </c>
      <c r="Z1441" s="55" t="str">
        <f>IF(AND(OR(LEFT(TH!L1441,2)="15",LEFT(TH!M1441,2)="15"),TK!$E$7=TH!F1441),"x","")</f>
        <v/>
      </c>
      <c r="AA1441" s="55" t="str">
        <f>IF(AND(B1441&lt;=NKC!$N$8,B1441&gt;=NKC!$M$8),"x","")</f>
        <v/>
      </c>
    </row>
    <row r="1442" spans="1:27" s="226" customFormat="1" ht="15.75" customHeight="1">
      <c r="A1442" s="219" t="str">
        <f>IF(B1442&lt;&gt;"",IF(AND(B1442&gt;=_TM1,B1442&lt;=_TM2,OR(TH!L1442="1111",TH!M1442="1111")),TH!D1442,""),"")</f>
        <v/>
      </c>
      <c r="B1442" s="36" t="str">
        <f t="shared" si="57"/>
        <v/>
      </c>
      <c r="C1442" s="37"/>
      <c r="D1442" s="37"/>
      <c r="E1442" s="37"/>
      <c r="F1442" s="40"/>
      <c r="G1442" s="580"/>
      <c r="H1442" s="45"/>
      <c r="I1442" s="277"/>
      <c r="J1442" s="277"/>
      <c r="K1442" s="38"/>
      <c r="L1442" s="39"/>
      <c r="M1442" s="39"/>
      <c r="N1442" s="55" t="str">
        <f>IF(AND('331-CT'!$E$7=TH!H1442,OR(L1442="331",M1442="331")),"x","")</f>
        <v/>
      </c>
      <c r="O1442" s="55" t="str">
        <f>IF(AND($B1442&gt;='111'!$N$11,$B1442&lt;='111'!$O$11,OR($L1442=$O$7,$M1442=$O$7)),"x","")</f>
        <v/>
      </c>
      <c r="P1442" s="55" t="str">
        <f>IF(AND($L1442=$O$7,$B1442&lt;'111'!$N$11),"x","")</f>
        <v/>
      </c>
      <c r="Q1442" s="55" t="str">
        <f>IF(AND($M1442=$O$7,$B1442&lt;'111'!$N$11),"x","")</f>
        <v/>
      </c>
      <c r="R1442" s="55" t="str">
        <f>IF(ISERROR(FIND('112'!$M$9,G1442,1)),"",IF((AND(FIND('112'!$M$9,G1442,1)&gt;=1,$B1442&gt;='112'!$N$8,$B1442&lt;='112'!$O$8,OR($L1442='112'!$I$6,$M1442='112'!$I$6))),"x",""))</f>
        <v/>
      </c>
      <c r="S1442" s="55" t="str">
        <f>IF(ISERROR(FIND('112'!$M$9,G1442,1)),"",IF((AND(LEFT(G1442,2)=LEFT('112'!$M$9,2),B1442&lt;'112'!$N$8,$L1442='112'!$I$6)),"x",""))</f>
        <v/>
      </c>
      <c r="T1442" s="55" t="str">
        <f>IF(ISERROR(FIND('112'!$M$9,G1442,1)),"",IF((AND(RIGHT(G1442,2)=RIGHT('112'!$M$9,2),B1442&lt;'112'!$N$8,$M1442='112'!$I$6)),"x",""))</f>
        <v/>
      </c>
      <c r="U1442" s="55" t="str">
        <f>IF(AND('3411-CT'!$F$9=H1442,OR(LEFT(L1442,3)=$U$7,LEFT(M1442,3)=$U$7)),"x","")</f>
        <v/>
      </c>
      <c r="V1442" s="55" t="str">
        <f>IF(OR(TH!L1442=TH!$V$7,M1442=TH!$V$7),"x","")</f>
        <v/>
      </c>
      <c r="W1442" s="55" t="str">
        <f>IF(AND(OR(L1442="131",M1442="131"),H1442='131-CT'!$E$7),"x","")</f>
        <v/>
      </c>
      <c r="X1442" s="55" t="str">
        <f>IF(AND(B1442&gt;='IN-NX'!$P$3,B1442&lt;='IN-NX'!$Q$3,'IN-NX'!$D$7=D1442,OR(LEFT(TH!L1442,2)="15",LEFT(TH!M1442,2)="15")),"x","")</f>
        <v/>
      </c>
      <c r="Y1442" s="55" t="str">
        <f>IF(AND(OR(LEFT(TH!L1442,2)="15",LEFT(TH!M1442,2)="15"),'152-CT'!$J$8=TH!F1442),"x","")</f>
        <v/>
      </c>
      <c r="Z1442" s="55" t="str">
        <f>IF(AND(OR(LEFT(TH!L1442,2)="15",LEFT(TH!M1442,2)="15"),TK!$E$7=TH!F1442),"x","")</f>
        <v/>
      </c>
      <c r="AA1442" s="55" t="str">
        <f>IF(AND(B1442&lt;=NKC!$N$8,B1442&gt;=NKC!$M$8),"x","")</f>
        <v/>
      </c>
    </row>
    <row r="1443" spans="1:27" s="226" customFormat="1" ht="15.75" customHeight="1">
      <c r="A1443" s="219" t="str">
        <f>IF(B1443&lt;&gt;"",IF(AND(B1443&gt;=_TM1,B1443&lt;=_TM2,OR(TH!L1443="1111",TH!M1443="1111")),TH!D1443,""),"")</f>
        <v/>
      </c>
      <c r="B1443" s="36" t="str">
        <f t="shared" si="57"/>
        <v/>
      </c>
      <c r="C1443" s="37"/>
      <c r="D1443" s="37"/>
      <c r="E1443" s="205"/>
      <c r="F1443" s="206"/>
      <c r="G1443" s="40"/>
      <c r="H1443" s="45"/>
      <c r="I1443" s="277"/>
      <c r="J1443" s="277"/>
      <c r="K1443" s="38"/>
      <c r="L1443" s="208"/>
      <c r="M1443" s="208"/>
      <c r="N1443" s="55" t="str">
        <f>IF(AND('331-CT'!$E$7=TH!H1443,OR(L1443="331",M1443="331")),"x","")</f>
        <v/>
      </c>
      <c r="O1443" s="55" t="str">
        <f>IF(AND($B1443&gt;='111'!$N$11,$B1443&lt;='111'!$O$11,OR($L1443=$O$7,$M1443=$O$7)),"x","")</f>
        <v/>
      </c>
      <c r="P1443" s="55" t="str">
        <f>IF(AND($L1443=$O$7,$B1443&lt;'111'!$N$11),"x","")</f>
        <v/>
      </c>
      <c r="Q1443" s="55" t="str">
        <f>IF(AND($M1443=$O$7,$B1443&lt;'111'!$N$11),"x","")</f>
        <v/>
      </c>
      <c r="R1443" s="55" t="str">
        <f>IF(ISERROR(FIND('112'!$M$9,G1443,1)),"",IF((AND(FIND('112'!$M$9,G1443,1)&gt;=1,$B1443&gt;='112'!$N$8,$B1443&lt;='112'!$O$8,OR($L1443='112'!$I$6,$M1443='112'!$I$6))),"x",""))</f>
        <v/>
      </c>
      <c r="S1443" s="55" t="str">
        <f>IF(ISERROR(FIND('112'!$M$9,G1443,1)),"",IF((AND(LEFT(G1443,2)=LEFT('112'!$M$9,2),B1443&lt;'112'!$N$8,$L1443='112'!$I$6)),"x",""))</f>
        <v/>
      </c>
      <c r="T1443" s="55" t="str">
        <f>IF(ISERROR(FIND('112'!$M$9,G1443,1)),"",IF((AND(RIGHT(G1443,2)=RIGHT('112'!$M$9,2),B1443&lt;'112'!$N$8,$M1443='112'!$I$6)),"x",""))</f>
        <v/>
      </c>
      <c r="U1443" s="55" t="str">
        <f>IF(AND('3411-CT'!$F$9=H1443,OR(LEFT(L1443,3)=$U$7,LEFT(M1443,3)=$U$7)),"x","")</f>
        <v/>
      </c>
      <c r="V1443" s="55" t="str">
        <f>IF(OR(TH!L1443=TH!$V$7,M1443=TH!$V$7),"x","")</f>
        <v/>
      </c>
      <c r="W1443" s="55" t="str">
        <f>IF(AND(OR(L1443="131",M1443="131"),H1443='131-CT'!$E$7),"x","")</f>
        <v/>
      </c>
      <c r="X1443" s="55" t="str">
        <f>IF(AND(B1443&gt;='IN-NX'!$P$3,B1443&lt;='IN-NX'!$Q$3,'IN-NX'!$D$7=D1443,OR(LEFT(TH!L1443,2)="15",LEFT(TH!M1443,2)="15")),"x","")</f>
        <v/>
      </c>
      <c r="Y1443" s="55" t="str">
        <f>IF(AND(OR(LEFT(TH!L1443,2)="15",LEFT(TH!M1443,2)="15"),'152-CT'!$J$8=TH!F1443),"x","")</f>
        <v/>
      </c>
      <c r="Z1443" s="55" t="str">
        <f>IF(AND(OR(LEFT(TH!L1443,2)="15",LEFT(TH!M1443,2)="15"),TK!$E$7=TH!F1443),"x","")</f>
        <v/>
      </c>
      <c r="AA1443" s="55" t="str">
        <f>IF(AND(B1443&lt;=NKC!$N$8,B1443&gt;=NKC!$M$8),"x","")</f>
        <v/>
      </c>
    </row>
    <row r="1444" spans="1:27" ht="15.75" customHeight="1">
      <c r="A1444" s="219" t="str">
        <f>IF(B1444&lt;&gt;"",IF(AND(B1444&gt;=_TM1,B1444&lt;=_TM2,OR(TH!L1444="1111",TH!M1444="1111")),TH!D1444,""),"")</f>
        <v/>
      </c>
      <c r="B1444" s="36" t="str">
        <f t="shared" si="57"/>
        <v/>
      </c>
      <c r="C1444" s="37"/>
      <c r="D1444" s="205"/>
      <c r="E1444" s="205"/>
      <c r="F1444" s="206"/>
      <c r="G1444" s="206"/>
      <c r="H1444" s="207"/>
      <c r="I1444" s="277"/>
      <c r="J1444" s="277"/>
      <c r="K1444" s="38"/>
      <c r="L1444" s="208"/>
      <c r="M1444" s="208"/>
      <c r="N1444" s="55" t="str">
        <f>IF(AND('331-CT'!$E$7=TH!H1444,OR(L1444="331",M1444="331")),"x","")</f>
        <v/>
      </c>
      <c r="O1444" s="55" t="str">
        <f>IF(AND($B1444&gt;='111'!$N$11,$B1444&lt;='111'!$O$11,OR($L1444=$O$7,$M1444=$O$7)),"x","")</f>
        <v/>
      </c>
      <c r="P1444" s="55" t="str">
        <f>IF(AND($L1444=$O$7,$B1444&lt;'111'!$N$11),"x","")</f>
        <v/>
      </c>
      <c r="Q1444" s="55" t="str">
        <f>IF(AND($M1444=$O$7,$B1444&lt;'111'!$N$11),"x","")</f>
        <v/>
      </c>
      <c r="R1444" s="55" t="str">
        <f>IF(ISERROR(FIND('112'!$M$9,G1444,1)),"",IF((AND(FIND('112'!$M$9,G1444,1)&gt;=1,$B1444&gt;='112'!$N$8,$B1444&lt;='112'!$O$8,OR($L1444='112'!$I$6,$M1444='112'!$I$6))),"x",""))</f>
        <v/>
      </c>
      <c r="S1444" s="55" t="str">
        <f>IF(ISERROR(FIND('112'!$M$9,G1444,1)),"",IF((AND(LEFT(G1444,2)=LEFT('112'!$M$9,2),B1444&lt;'112'!$N$8,$L1444='112'!$I$6)),"x",""))</f>
        <v/>
      </c>
      <c r="T1444" s="55" t="str">
        <f>IF(ISERROR(FIND('112'!$M$9,G1444,1)),"",IF((AND(RIGHT(G1444,2)=RIGHT('112'!$M$9,2),B1444&lt;'112'!$N$8,$M1444='112'!$I$6)),"x",""))</f>
        <v/>
      </c>
      <c r="U1444" s="55" t="str">
        <f>IF(AND('3411-CT'!$F$9=H1444,OR(LEFT(L1444,3)=$U$7,LEFT(M1444,3)=$U$7)),"x","")</f>
        <v/>
      </c>
      <c r="V1444" s="55" t="str">
        <f>IF(OR(TH!L1444=TH!$V$7,M1444=TH!$V$7),"x","")</f>
        <v/>
      </c>
      <c r="W1444" s="55" t="str">
        <f>IF(AND(OR(L1444="131",M1444="131"),H1444='131-CT'!$E$7),"x","")</f>
        <v/>
      </c>
      <c r="X1444" s="55" t="str">
        <f>IF(AND(B1444&gt;='IN-NX'!$P$3,B1444&lt;='IN-NX'!$Q$3,'IN-NX'!$D$7=D1444,OR(LEFT(TH!L1444,2)="15",LEFT(TH!M1444,2)="15")),"x","")</f>
        <v/>
      </c>
      <c r="Y1444" s="55" t="str">
        <f>IF(AND(OR(LEFT(TH!L1444,2)="15",LEFT(TH!M1444,2)="15"),'152-CT'!$J$8=TH!F1444),"x","")</f>
        <v/>
      </c>
      <c r="Z1444" s="55" t="str">
        <f>IF(AND(OR(LEFT(TH!L1444,2)="15",LEFT(TH!M1444,2)="15"),TK!$E$7=TH!F1444),"x","")</f>
        <v/>
      </c>
      <c r="AA1444" s="55" t="str">
        <f>IF(AND(B1444&lt;=NKC!$N$8,B1444&gt;=NKC!$M$8),"x","")</f>
        <v/>
      </c>
    </row>
    <row r="1445" spans="1:27" ht="15.75" customHeight="1">
      <c r="A1445" s="219" t="str">
        <f>IF(B1445&lt;&gt;"",IF(AND(B1445&gt;=_TM1,B1445&lt;=_TM2,OR(TH!L1445="1111",TH!M1445="1111")),TH!D1445,""),"")</f>
        <v/>
      </c>
      <c r="B1445" s="36" t="str">
        <f t="shared" si="57"/>
        <v/>
      </c>
      <c r="C1445" s="37"/>
      <c r="D1445" s="205"/>
      <c r="E1445" s="205"/>
      <c r="F1445" s="206"/>
      <c r="G1445" s="206"/>
      <c r="H1445" s="207"/>
      <c r="I1445" s="277"/>
      <c r="J1445" s="277"/>
      <c r="K1445" s="38"/>
      <c r="L1445" s="208"/>
      <c r="M1445" s="208"/>
      <c r="N1445" s="55" t="str">
        <f>IF(AND('331-CT'!$E$7=TH!H1445,OR(L1445="331",M1445="331")),"x","")</f>
        <v/>
      </c>
      <c r="O1445" s="55" t="str">
        <f>IF(AND($B1445&gt;='111'!$N$11,$B1445&lt;='111'!$O$11,OR($L1445=$O$7,$M1445=$O$7)),"x","")</f>
        <v/>
      </c>
      <c r="P1445" s="55" t="str">
        <f>IF(AND($L1445=$O$7,$B1445&lt;'111'!$N$11),"x","")</f>
        <v/>
      </c>
      <c r="Q1445" s="55" t="str">
        <f>IF(AND($M1445=$O$7,$B1445&lt;'111'!$N$11),"x","")</f>
        <v/>
      </c>
      <c r="R1445" s="55" t="str">
        <f>IF(ISERROR(FIND('112'!$M$9,G1445,1)),"",IF((AND(FIND('112'!$M$9,G1445,1)&gt;=1,$B1445&gt;='112'!$N$8,$B1445&lt;='112'!$O$8,OR($L1445='112'!$I$6,$M1445='112'!$I$6))),"x",""))</f>
        <v/>
      </c>
      <c r="S1445" s="55" t="str">
        <f>IF(ISERROR(FIND('112'!$M$9,G1445,1)),"",IF((AND(LEFT(G1445,2)=LEFT('112'!$M$9,2),B1445&lt;'112'!$N$8,$L1445='112'!$I$6)),"x",""))</f>
        <v/>
      </c>
      <c r="T1445" s="55" t="str">
        <f>IF(ISERROR(FIND('112'!$M$9,G1445,1)),"",IF((AND(RIGHT(G1445,2)=RIGHT('112'!$M$9,2),B1445&lt;'112'!$N$8,$M1445='112'!$I$6)),"x",""))</f>
        <v/>
      </c>
      <c r="U1445" s="55" t="str">
        <f>IF(AND('3411-CT'!$F$9=H1445,OR(LEFT(L1445,3)=$U$7,LEFT(M1445,3)=$U$7)),"x","")</f>
        <v/>
      </c>
      <c r="V1445" s="55" t="str">
        <f>IF(OR(TH!L1445=TH!$V$7,M1445=TH!$V$7),"x","")</f>
        <v/>
      </c>
      <c r="W1445" s="55" t="str">
        <f>IF(AND(OR(L1445="131",M1445="131"),H1445='131-CT'!$E$7),"x","")</f>
        <v/>
      </c>
      <c r="X1445" s="55" t="str">
        <f>IF(AND(B1445&gt;='IN-NX'!$P$3,B1445&lt;='IN-NX'!$Q$3,'IN-NX'!$D$7=D1445,OR(LEFT(TH!L1445,2)="15",LEFT(TH!M1445,2)="15")),"x","")</f>
        <v/>
      </c>
      <c r="Y1445" s="55" t="str">
        <f>IF(AND(OR(LEFT(TH!L1445,2)="15",LEFT(TH!M1445,2)="15"),'152-CT'!$J$8=TH!F1445),"x","")</f>
        <v/>
      </c>
      <c r="Z1445" s="55" t="str">
        <f>IF(AND(OR(LEFT(TH!L1445,2)="15",LEFT(TH!M1445,2)="15"),TK!$E$7=TH!F1445),"x","")</f>
        <v/>
      </c>
      <c r="AA1445" s="55" t="str">
        <f>IF(AND(B1445&lt;=NKC!$N$8,B1445&gt;=NKC!$M$8),"x","")</f>
        <v/>
      </c>
    </row>
    <row r="1446" spans="1:27" ht="15.75" customHeight="1">
      <c r="A1446" s="219" t="str">
        <f>IF(B1446&lt;&gt;"",IF(AND(B1446&gt;=_TM1,B1446&lt;=_TM2,OR(TH!L1446="1111",TH!M1446="1111")),TH!D1446,""),"")</f>
        <v/>
      </c>
      <c r="B1446" s="36" t="str">
        <f t="shared" si="57"/>
        <v/>
      </c>
      <c r="C1446" s="37"/>
      <c r="D1446" s="205"/>
      <c r="E1446" s="205"/>
      <c r="F1446" s="206"/>
      <c r="G1446" s="206"/>
      <c r="H1446" s="207"/>
      <c r="I1446" s="277"/>
      <c r="J1446" s="277"/>
      <c r="K1446" s="38"/>
      <c r="L1446" s="208"/>
      <c r="M1446" s="208"/>
      <c r="N1446" s="55" t="str">
        <f>IF(AND('331-CT'!$E$7=TH!H1446,OR(L1446="331",M1446="331")),"x","")</f>
        <v/>
      </c>
      <c r="O1446" s="55" t="str">
        <f>IF(AND($B1446&gt;='111'!$N$11,$B1446&lt;='111'!$O$11,OR($L1446=$O$7,$M1446=$O$7)),"x","")</f>
        <v/>
      </c>
      <c r="P1446" s="55" t="str">
        <f>IF(AND($L1446=$O$7,$B1446&lt;'111'!$N$11),"x","")</f>
        <v/>
      </c>
      <c r="Q1446" s="55" t="str">
        <f>IF(AND($M1446=$O$7,$B1446&lt;'111'!$N$11),"x","")</f>
        <v/>
      </c>
      <c r="R1446" s="55" t="str">
        <f>IF(ISERROR(FIND('112'!$M$9,G1446,1)),"",IF((AND(FIND('112'!$M$9,G1446,1)&gt;=1,$B1446&gt;='112'!$N$8,$B1446&lt;='112'!$O$8,OR($L1446='112'!$I$6,$M1446='112'!$I$6))),"x",""))</f>
        <v/>
      </c>
      <c r="S1446" s="55" t="str">
        <f>IF(ISERROR(FIND('112'!$M$9,G1446,1)),"",IF((AND(LEFT(G1446,2)=LEFT('112'!$M$9,2),B1446&lt;'112'!$N$8,$L1446='112'!$I$6)),"x",""))</f>
        <v/>
      </c>
      <c r="T1446" s="55" t="str">
        <f>IF(ISERROR(FIND('112'!$M$9,G1446,1)),"",IF((AND(RIGHT(G1446,2)=RIGHT('112'!$M$9,2),B1446&lt;'112'!$N$8,$M1446='112'!$I$6)),"x",""))</f>
        <v/>
      </c>
      <c r="U1446" s="55" t="str">
        <f>IF(AND('3411-CT'!$F$9=H1446,OR(LEFT(L1446,3)=$U$7,LEFT(M1446,3)=$U$7)),"x","")</f>
        <v/>
      </c>
      <c r="V1446" s="55" t="str">
        <f>IF(OR(TH!L1446=TH!$V$7,M1446=TH!$V$7),"x","")</f>
        <v/>
      </c>
      <c r="W1446" s="55" t="str">
        <f>IF(AND(OR(L1446="131",M1446="131"),H1446='131-CT'!$E$7),"x","")</f>
        <v/>
      </c>
      <c r="X1446" s="55" t="str">
        <f>IF(AND(B1446&gt;='IN-NX'!$P$3,B1446&lt;='IN-NX'!$Q$3,'IN-NX'!$D$7=D1446,OR(LEFT(TH!L1446,2)="15",LEFT(TH!M1446,2)="15")),"x","")</f>
        <v/>
      </c>
      <c r="Y1446" s="55" t="str">
        <f>IF(AND(OR(LEFT(TH!L1446,2)="15",LEFT(TH!M1446,2)="15"),'152-CT'!$J$8=TH!F1446),"x","")</f>
        <v/>
      </c>
      <c r="Z1446" s="55" t="str">
        <f>IF(AND(OR(LEFT(TH!L1446,2)="15",LEFT(TH!M1446,2)="15"),TK!$E$7=TH!F1446),"x","")</f>
        <v/>
      </c>
      <c r="AA1446" s="55" t="str">
        <f>IF(AND(B1446&lt;=NKC!$N$8,B1446&gt;=NKC!$M$8),"x","")</f>
        <v/>
      </c>
    </row>
    <row r="1447" spans="1:27" ht="15.75" customHeight="1">
      <c r="A1447" s="219" t="str">
        <f>IF(B1447&lt;&gt;"",IF(AND(B1447&gt;=_TM1,B1447&lt;=_TM2,OR(TH!L1447="1111",TH!M1447="1111")),TH!D1447,""),"")</f>
        <v/>
      </c>
      <c r="B1447" s="36" t="str">
        <f t="shared" si="57"/>
        <v/>
      </c>
      <c r="C1447" s="37"/>
      <c r="D1447" s="205"/>
      <c r="E1447" s="205"/>
      <c r="F1447" s="206"/>
      <c r="G1447" s="206"/>
      <c r="H1447" s="207"/>
      <c r="I1447" s="277"/>
      <c r="J1447" s="277"/>
      <c r="K1447" s="38"/>
      <c r="L1447" s="208"/>
      <c r="M1447" s="208"/>
      <c r="N1447" s="55" t="str">
        <f>IF(AND('331-CT'!$E$7=TH!H1447,OR(L1447="331",M1447="331")),"x","")</f>
        <v/>
      </c>
      <c r="O1447" s="55" t="str">
        <f>IF(AND($B1447&gt;='111'!$N$11,$B1447&lt;='111'!$O$11,OR($L1447=$O$7,$M1447=$O$7)),"x","")</f>
        <v/>
      </c>
      <c r="P1447" s="55" t="str">
        <f>IF(AND($L1447=$O$7,$B1447&lt;'111'!$N$11),"x","")</f>
        <v/>
      </c>
      <c r="Q1447" s="55" t="str">
        <f>IF(AND($M1447=$O$7,$B1447&lt;'111'!$N$11),"x","")</f>
        <v/>
      </c>
      <c r="R1447" s="55" t="str">
        <f>IF(ISERROR(FIND('112'!$M$9,G1447,1)),"",IF((AND(FIND('112'!$M$9,G1447,1)&gt;=1,$B1447&gt;='112'!$N$8,$B1447&lt;='112'!$O$8,OR($L1447='112'!$I$6,$M1447='112'!$I$6))),"x",""))</f>
        <v/>
      </c>
      <c r="S1447" s="55" t="str">
        <f>IF(ISERROR(FIND('112'!$M$9,G1447,1)),"",IF((AND(LEFT(G1447,2)=LEFT('112'!$M$9,2),B1447&lt;'112'!$N$8,$L1447='112'!$I$6)),"x",""))</f>
        <v/>
      </c>
      <c r="T1447" s="55" t="str">
        <f>IF(ISERROR(FIND('112'!$M$9,G1447,1)),"",IF((AND(RIGHT(G1447,2)=RIGHT('112'!$M$9,2),B1447&lt;'112'!$N$8,$M1447='112'!$I$6)),"x",""))</f>
        <v/>
      </c>
      <c r="U1447" s="55" t="str">
        <f>IF(AND('3411-CT'!$F$9=H1447,OR(LEFT(L1447,3)=$U$7,LEFT(M1447,3)=$U$7)),"x","")</f>
        <v/>
      </c>
      <c r="V1447" s="55" t="str">
        <f>IF(OR(TH!L1447=TH!$V$7,M1447=TH!$V$7),"x","")</f>
        <v/>
      </c>
      <c r="W1447" s="55" t="str">
        <f>IF(AND(OR(L1447="131",M1447="131"),H1447='131-CT'!$E$7),"x","")</f>
        <v/>
      </c>
      <c r="X1447" s="55" t="str">
        <f>IF(AND(B1447&gt;='IN-NX'!$P$3,B1447&lt;='IN-NX'!$Q$3,'IN-NX'!$D$7=D1447,OR(LEFT(TH!L1447,2)="15",LEFT(TH!M1447,2)="15")),"x","")</f>
        <v/>
      </c>
      <c r="Y1447" s="55" t="str">
        <f>IF(AND(OR(LEFT(TH!L1447,2)="15",LEFT(TH!M1447,2)="15"),'152-CT'!$J$8=TH!F1447),"x","")</f>
        <v/>
      </c>
      <c r="Z1447" s="55" t="str">
        <f>IF(AND(OR(LEFT(TH!L1447,2)="15",LEFT(TH!M1447,2)="15"),TK!$E$7=TH!F1447),"x","")</f>
        <v/>
      </c>
      <c r="AA1447" s="55" t="str">
        <f>IF(AND(B1447&lt;=NKC!$N$8,B1447&gt;=NKC!$M$8),"x","")</f>
        <v/>
      </c>
    </row>
    <row r="1448" spans="1:27" ht="15.75" customHeight="1">
      <c r="A1448" s="219" t="str">
        <f>IF(B1448&lt;&gt;"",IF(AND(B1448&gt;=_TM1,B1448&lt;=_TM2,OR(TH!L1448="1111",TH!M1448="1111")),TH!D1448,""),"")</f>
        <v/>
      </c>
      <c r="B1448" s="36" t="str">
        <f t="shared" si="57"/>
        <v/>
      </c>
      <c r="C1448" s="37"/>
      <c r="D1448" s="205"/>
      <c r="E1448" s="205"/>
      <c r="F1448" s="206"/>
      <c r="G1448" s="206"/>
      <c r="H1448" s="207"/>
      <c r="I1448" s="277"/>
      <c r="J1448" s="277"/>
      <c r="K1448" s="38"/>
      <c r="L1448" s="208"/>
      <c r="M1448" s="208"/>
      <c r="N1448" s="55" t="str">
        <f>IF(AND('331-CT'!$E$7=TH!H1448,OR(L1448="331",M1448="331")),"x","")</f>
        <v/>
      </c>
      <c r="O1448" s="55" t="str">
        <f>IF(AND($B1448&gt;='111'!$N$11,$B1448&lt;='111'!$O$11,OR($L1448=$O$7,$M1448=$O$7)),"x","")</f>
        <v/>
      </c>
      <c r="P1448" s="55" t="str">
        <f>IF(AND($L1448=$O$7,$B1448&lt;'111'!$N$11),"x","")</f>
        <v/>
      </c>
      <c r="Q1448" s="55" t="str">
        <f>IF(AND($M1448=$O$7,$B1448&lt;'111'!$N$11),"x","")</f>
        <v/>
      </c>
      <c r="R1448" s="55" t="str">
        <f>IF(ISERROR(FIND('112'!$M$9,G1448,1)),"",IF((AND(FIND('112'!$M$9,G1448,1)&gt;=1,$B1448&gt;='112'!$N$8,$B1448&lt;='112'!$O$8,OR($L1448='112'!$I$6,$M1448='112'!$I$6))),"x",""))</f>
        <v/>
      </c>
      <c r="S1448" s="55" t="str">
        <f>IF(ISERROR(FIND('112'!$M$9,G1448,1)),"",IF((AND(LEFT(G1448,2)=LEFT('112'!$M$9,2),B1448&lt;'112'!$N$8,$L1448='112'!$I$6)),"x",""))</f>
        <v/>
      </c>
      <c r="T1448" s="55" t="str">
        <f>IF(ISERROR(FIND('112'!$M$9,G1448,1)),"",IF((AND(RIGHT(G1448,2)=RIGHT('112'!$M$9,2),B1448&lt;'112'!$N$8,$M1448='112'!$I$6)),"x",""))</f>
        <v/>
      </c>
      <c r="U1448" s="55" t="str">
        <f>IF(AND('3411-CT'!$F$9=H1448,OR(LEFT(L1448,3)=$U$7,LEFT(M1448,3)=$U$7)),"x","")</f>
        <v/>
      </c>
      <c r="V1448" s="55" t="str">
        <f>IF(OR(TH!L1448=TH!$V$7,M1448=TH!$V$7),"x","")</f>
        <v/>
      </c>
      <c r="W1448" s="55" t="str">
        <f>IF(AND(OR(L1448="131",M1448="131"),H1448='131-CT'!$E$7),"x","")</f>
        <v/>
      </c>
      <c r="X1448" s="55" t="str">
        <f>IF(AND(B1448&gt;='IN-NX'!$P$3,B1448&lt;='IN-NX'!$Q$3,'IN-NX'!$D$7=D1448,OR(LEFT(TH!L1448,2)="15",LEFT(TH!M1448,2)="15")),"x","")</f>
        <v/>
      </c>
      <c r="Y1448" s="55" t="str">
        <f>IF(AND(OR(LEFT(TH!L1448,2)="15",LEFT(TH!M1448,2)="15"),'152-CT'!$J$8=TH!F1448),"x","")</f>
        <v/>
      </c>
      <c r="Z1448" s="55" t="str">
        <f>IF(AND(OR(LEFT(TH!L1448,2)="15",LEFT(TH!M1448,2)="15"),TK!$E$7=TH!F1448),"x","")</f>
        <v/>
      </c>
      <c r="AA1448" s="55" t="str">
        <f>IF(AND(B1448&lt;=NKC!$N$8,B1448&gt;=NKC!$M$8),"x","")</f>
        <v/>
      </c>
    </row>
    <row r="1449" spans="1:27" ht="15.75" customHeight="1">
      <c r="A1449" s="219" t="str">
        <f>IF(B1449&lt;&gt;"",IF(AND(B1449&gt;=_TM1,B1449&lt;=_TM2,OR(TH!L1449="1111",TH!M1449="1111")),TH!D1449,""),"")</f>
        <v/>
      </c>
      <c r="B1449" s="36" t="str">
        <f t="shared" si="57"/>
        <v/>
      </c>
      <c r="C1449" s="37"/>
      <c r="D1449" s="205"/>
      <c r="E1449" s="205"/>
      <c r="F1449" s="206"/>
      <c r="G1449" s="206"/>
      <c r="H1449" s="207"/>
      <c r="I1449" s="277"/>
      <c r="J1449" s="277"/>
      <c r="K1449" s="38"/>
      <c r="L1449" s="208"/>
      <c r="M1449" s="208"/>
      <c r="N1449" s="55" t="str">
        <f>IF(AND('331-CT'!$E$7=TH!H1449,OR(L1449="331",M1449="331")),"x","")</f>
        <v/>
      </c>
      <c r="O1449" s="55" t="str">
        <f>IF(AND($B1449&gt;='111'!$N$11,$B1449&lt;='111'!$O$11,OR($L1449=$O$7,$M1449=$O$7)),"x","")</f>
        <v/>
      </c>
      <c r="P1449" s="55" t="str">
        <f>IF(AND($L1449=$O$7,$B1449&lt;'111'!$N$11),"x","")</f>
        <v/>
      </c>
      <c r="Q1449" s="55" t="str">
        <f>IF(AND($M1449=$O$7,$B1449&lt;'111'!$N$11),"x","")</f>
        <v/>
      </c>
      <c r="R1449" s="55" t="str">
        <f>IF(ISERROR(FIND('112'!$M$9,G1449,1)),"",IF((AND(FIND('112'!$M$9,G1449,1)&gt;=1,$B1449&gt;='112'!$N$8,$B1449&lt;='112'!$O$8,OR($L1449='112'!$I$6,$M1449='112'!$I$6))),"x",""))</f>
        <v/>
      </c>
      <c r="S1449" s="55" t="str">
        <f>IF(ISERROR(FIND('112'!$M$9,G1449,1)),"",IF((AND(LEFT(G1449,2)=LEFT('112'!$M$9,2),B1449&lt;'112'!$N$8,$L1449='112'!$I$6)),"x",""))</f>
        <v/>
      </c>
      <c r="T1449" s="55" t="str">
        <f>IF(ISERROR(FIND('112'!$M$9,G1449,1)),"",IF((AND(RIGHT(G1449,2)=RIGHT('112'!$M$9,2),B1449&lt;'112'!$N$8,$M1449='112'!$I$6)),"x",""))</f>
        <v/>
      </c>
      <c r="U1449" s="55" t="str">
        <f>IF(AND('3411-CT'!$F$9=H1449,OR(LEFT(L1449,3)=$U$7,LEFT(M1449,3)=$U$7)),"x","")</f>
        <v/>
      </c>
      <c r="V1449" s="55" t="str">
        <f>IF(OR(TH!L1449=TH!$V$7,M1449=TH!$V$7),"x","")</f>
        <v/>
      </c>
      <c r="W1449" s="55" t="str">
        <f>IF(AND(OR(L1449="131",M1449="131"),H1449='131-CT'!$E$7),"x","")</f>
        <v/>
      </c>
      <c r="X1449" s="55" t="str">
        <f>IF(AND(B1449&gt;='IN-NX'!$P$3,B1449&lt;='IN-NX'!$Q$3,'IN-NX'!$D$7=D1449,OR(LEFT(TH!L1449,2)="15",LEFT(TH!M1449,2)="15")),"x","")</f>
        <v/>
      </c>
      <c r="Y1449" s="55" t="str">
        <f>IF(AND(OR(LEFT(TH!L1449,2)="15",LEFT(TH!M1449,2)="15"),'152-CT'!$J$8=TH!F1449),"x","")</f>
        <v/>
      </c>
      <c r="Z1449" s="55" t="str">
        <f>IF(AND(OR(LEFT(TH!L1449,2)="15",LEFT(TH!M1449,2)="15"),TK!$E$7=TH!F1449),"x","")</f>
        <v/>
      </c>
      <c r="AA1449" s="55" t="str">
        <f>IF(AND(B1449&lt;=NKC!$N$8,B1449&gt;=NKC!$M$8),"x","")</f>
        <v/>
      </c>
    </row>
    <row r="1450" spans="1:27" ht="15.75" customHeight="1">
      <c r="A1450" s="219" t="str">
        <f>IF(B1450&lt;&gt;"",IF(AND(B1450&gt;=_TM1,B1450&lt;=_TM2,OR(TH!L1450="1111",TH!M1450="1111")),TH!D1450,""),"")</f>
        <v/>
      </c>
      <c r="B1450" s="36" t="str">
        <f t="shared" si="57"/>
        <v/>
      </c>
      <c r="C1450" s="37"/>
      <c r="D1450" s="205"/>
      <c r="E1450" s="205"/>
      <c r="F1450" s="206"/>
      <c r="G1450" s="206"/>
      <c r="H1450" s="207"/>
      <c r="I1450" s="277"/>
      <c r="J1450" s="277"/>
      <c r="K1450" s="38"/>
      <c r="L1450" s="208"/>
      <c r="M1450" s="208"/>
      <c r="N1450" s="55" t="str">
        <f>IF(AND('331-CT'!$E$7=TH!H1450,OR(L1450="331",M1450="331")),"x","")</f>
        <v/>
      </c>
      <c r="O1450" s="55" t="str">
        <f>IF(AND($B1450&gt;='111'!$N$11,$B1450&lt;='111'!$O$11,OR($L1450=$O$7,$M1450=$O$7)),"x","")</f>
        <v/>
      </c>
      <c r="P1450" s="55" t="str">
        <f>IF(AND($L1450=$O$7,$B1450&lt;'111'!$N$11),"x","")</f>
        <v/>
      </c>
      <c r="Q1450" s="55" t="str">
        <f>IF(AND($M1450=$O$7,$B1450&lt;'111'!$N$11),"x","")</f>
        <v/>
      </c>
      <c r="R1450" s="55" t="str">
        <f>IF(ISERROR(FIND('112'!$M$9,G1450,1)),"",IF((AND(FIND('112'!$M$9,G1450,1)&gt;=1,$B1450&gt;='112'!$N$8,$B1450&lt;='112'!$O$8,OR($L1450='112'!$I$6,$M1450='112'!$I$6))),"x",""))</f>
        <v/>
      </c>
      <c r="S1450" s="55" t="str">
        <f>IF(ISERROR(FIND('112'!$M$9,G1450,1)),"",IF((AND(LEFT(G1450,2)=LEFT('112'!$M$9,2),B1450&lt;'112'!$N$8,$L1450='112'!$I$6)),"x",""))</f>
        <v/>
      </c>
      <c r="T1450" s="55" t="str">
        <f>IF(ISERROR(FIND('112'!$M$9,G1450,1)),"",IF((AND(RIGHT(G1450,2)=RIGHT('112'!$M$9,2),B1450&lt;'112'!$N$8,$M1450='112'!$I$6)),"x",""))</f>
        <v/>
      </c>
      <c r="U1450" s="55" t="str">
        <f>IF(AND('3411-CT'!$F$9=H1450,OR(LEFT(L1450,3)=$U$7,LEFT(M1450,3)=$U$7)),"x","")</f>
        <v/>
      </c>
      <c r="V1450" s="55" t="str">
        <f>IF(OR(TH!L1450=TH!$V$7,M1450=TH!$V$7),"x","")</f>
        <v/>
      </c>
      <c r="W1450" s="55" t="str">
        <f>IF(AND(OR(L1450="131",M1450="131"),H1450='131-CT'!$E$7),"x","")</f>
        <v/>
      </c>
      <c r="X1450" s="55" t="str">
        <f>IF(AND(B1450&gt;='IN-NX'!$P$3,B1450&lt;='IN-NX'!$Q$3,'IN-NX'!$D$7=D1450,OR(LEFT(TH!L1450,2)="15",LEFT(TH!M1450,2)="15")),"x","")</f>
        <v/>
      </c>
      <c r="Y1450" s="55" t="str">
        <f>IF(AND(OR(LEFT(TH!L1450,2)="15",LEFT(TH!M1450,2)="15"),'152-CT'!$J$8=TH!F1450),"x","")</f>
        <v/>
      </c>
      <c r="Z1450" s="55" t="str">
        <f>IF(AND(OR(LEFT(TH!L1450,2)="15",LEFT(TH!M1450,2)="15"),TK!$E$7=TH!F1450),"x","")</f>
        <v/>
      </c>
      <c r="AA1450" s="55" t="str">
        <f>IF(AND(B1450&lt;=NKC!$N$8,B1450&gt;=NKC!$M$8),"x","")</f>
        <v/>
      </c>
    </row>
    <row r="1451" spans="1:27" ht="15.75" customHeight="1">
      <c r="A1451" s="219" t="str">
        <f>IF(B1451&lt;&gt;"",IF(AND(B1451&gt;=_TM1,B1451&lt;=_TM2,OR(TH!L1451="1111",TH!M1451="1111")),TH!D1451,""),"")</f>
        <v/>
      </c>
      <c r="B1451" s="36" t="str">
        <f t="shared" si="57"/>
        <v/>
      </c>
      <c r="C1451" s="37"/>
      <c r="D1451" s="37"/>
      <c r="E1451" s="37"/>
      <c r="F1451" s="40"/>
      <c r="G1451" s="580"/>
      <c r="H1451" s="45"/>
      <c r="I1451" s="277"/>
      <c r="J1451" s="277"/>
      <c r="K1451" s="38"/>
      <c r="L1451" s="208"/>
      <c r="M1451" s="39"/>
      <c r="N1451" s="55" t="str">
        <f>IF(AND('331-CT'!$E$7=TH!H1451,OR(L1451="331",M1451="331")),"x","")</f>
        <v/>
      </c>
      <c r="O1451" s="55" t="str">
        <f>IF(AND($B1451&gt;='111'!$N$11,$B1451&lt;='111'!$O$11,OR($L1451=$O$7,$M1451=$O$7)),"x","")</f>
        <v/>
      </c>
      <c r="P1451" s="55" t="str">
        <f>IF(AND($L1451=$O$7,$B1451&lt;'111'!$N$11),"x","")</f>
        <v/>
      </c>
      <c r="Q1451" s="55" t="str">
        <f>IF(AND($M1451=$O$7,$B1451&lt;'111'!$N$11),"x","")</f>
        <v/>
      </c>
      <c r="R1451" s="55" t="str">
        <f>IF(ISERROR(FIND('112'!$M$9,G1451,1)),"",IF((AND(FIND('112'!$M$9,G1451,1)&gt;=1,$B1451&gt;='112'!$N$8,$B1451&lt;='112'!$O$8,OR($L1451='112'!$I$6,$M1451='112'!$I$6))),"x",""))</f>
        <v/>
      </c>
      <c r="S1451" s="55" t="str">
        <f>IF(ISERROR(FIND('112'!$M$9,G1451,1)),"",IF((AND(LEFT(G1451,2)=LEFT('112'!$M$9,2),B1451&lt;'112'!$N$8,$L1451='112'!$I$6)),"x",""))</f>
        <v/>
      </c>
      <c r="T1451" s="55" t="str">
        <f>IF(ISERROR(FIND('112'!$M$9,G1451,1)),"",IF((AND(RIGHT(G1451,2)=RIGHT('112'!$M$9,2),B1451&lt;'112'!$N$8,$M1451='112'!$I$6)),"x",""))</f>
        <v/>
      </c>
      <c r="U1451" s="55" t="str">
        <f>IF(AND('3411-CT'!$F$9=H1451,OR(LEFT(L1451,3)=$U$7,LEFT(M1451,3)=$U$7)),"x","")</f>
        <v/>
      </c>
      <c r="V1451" s="55" t="str">
        <f>IF(OR(TH!L1451=TH!$V$7,M1451=TH!$V$7),"x","")</f>
        <v/>
      </c>
      <c r="W1451" s="55" t="str">
        <f>IF(AND(OR(L1451="131",M1451="131"),H1451='131-CT'!$E$7),"x","")</f>
        <v/>
      </c>
      <c r="X1451" s="55" t="str">
        <f>IF(AND(B1451&gt;='IN-NX'!$P$3,B1451&lt;='IN-NX'!$Q$3,'IN-NX'!$D$7=D1451,OR(LEFT(TH!L1451,2)="15",LEFT(TH!M1451,2)="15")),"x","")</f>
        <v/>
      </c>
      <c r="Y1451" s="55" t="str">
        <f>IF(AND(OR(LEFT(TH!L1451,2)="15",LEFT(TH!M1451,2)="15"),'152-CT'!$J$8=TH!F1451),"x","")</f>
        <v/>
      </c>
      <c r="Z1451" s="55" t="str">
        <f>IF(AND(OR(LEFT(TH!L1451,2)="15",LEFT(TH!M1451,2)="15"),TK!$E$7=TH!F1451),"x","")</f>
        <v/>
      </c>
      <c r="AA1451" s="55" t="str">
        <f>IF(AND(B1451&lt;=NKC!$N$8,B1451&gt;=NKC!$M$8),"x","")</f>
        <v/>
      </c>
    </row>
    <row r="1452" spans="1:27" ht="15.75" customHeight="1">
      <c r="A1452" s="219" t="str">
        <f>IF(B1452&lt;&gt;"",IF(AND(B1452&gt;=_TM1,B1452&lt;=_TM2,OR(TH!L1452="1111",TH!M1452="1111")),TH!D1452,""),"")</f>
        <v/>
      </c>
      <c r="B1452" s="36" t="str">
        <f t="shared" si="57"/>
        <v/>
      </c>
      <c r="C1452" s="37"/>
      <c r="D1452" s="37"/>
      <c r="E1452" s="37"/>
      <c r="F1452" s="40"/>
      <c r="G1452" s="580"/>
      <c r="H1452" s="45"/>
      <c r="I1452" s="277"/>
      <c r="J1452" s="277"/>
      <c r="K1452" s="38"/>
      <c r="L1452" s="208"/>
      <c r="M1452" s="39"/>
      <c r="N1452" s="55" t="str">
        <f>IF(AND('331-CT'!$E$7=TH!H1452,OR(L1452="331",M1452="331")),"x","")</f>
        <v/>
      </c>
      <c r="O1452" s="55" t="str">
        <f>IF(AND($B1452&gt;='111'!$N$11,$B1452&lt;='111'!$O$11,OR($L1452=$O$7,$M1452=$O$7)),"x","")</f>
        <v/>
      </c>
      <c r="P1452" s="55" t="str">
        <f>IF(AND($L1452=$O$7,$B1452&lt;'111'!$N$11),"x","")</f>
        <v/>
      </c>
      <c r="Q1452" s="55" t="str">
        <f>IF(AND($M1452=$O$7,$B1452&lt;'111'!$N$11),"x","")</f>
        <v/>
      </c>
      <c r="R1452" s="55" t="str">
        <f>IF(ISERROR(FIND('112'!$M$9,G1452,1)),"",IF((AND(FIND('112'!$M$9,G1452,1)&gt;=1,$B1452&gt;='112'!$N$8,$B1452&lt;='112'!$O$8,OR($L1452='112'!$I$6,$M1452='112'!$I$6))),"x",""))</f>
        <v/>
      </c>
      <c r="S1452" s="55" t="str">
        <f>IF(ISERROR(FIND('112'!$M$9,G1452,1)),"",IF((AND(LEFT(G1452,2)=LEFT('112'!$M$9,2),B1452&lt;'112'!$N$8,$L1452='112'!$I$6)),"x",""))</f>
        <v/>
      </c>
      <c r="T1452" s="55" t="str">
        <f>IF(ISERROR(FIND('112'!$M$9,G1452,1)),"",IF((AND(RIGHT(G1452,2)=RIGHT('112'!$M$9,2),B1452&lt;'112'!$N$8,$M1452='112'!$I$6)),"x",""))</f>
        <v/>
      </c>
      <c r="U1452" s="55" t="str">
        <f>IF(AND('3411-CT'!$F$9=H1452,OR(LEFT(L1452,3)=$U$7,LEFT(M1452,3)=$U$7)),"x","")</f>
        <v/>
      </c>
      <c r="V1452" s="55" t="str">
        <f>IF(OR(TH!L1452=TH!$V$7,M1452=TH!$V$7),"x","")</f>
        <v/>
      </c>
      <c r="W1452" s="55" t="str">
        <f>IF(AND(OR(L1452="131",M1452="131"),H1452='131-CT'!$E$7),"x","")</f>
        <v/>
      </c>
      <c r="X1452" s="55" t="str">
        <f>IF(AND(B1452&gt;='IN-NX'!$P$3,B1452&lt;='IN-NX'!$Q$3,'IN-NX'!$D$7=D1452,OR(LEFT(TH!L1452,2)="15",LEFT(TH!M1452,2)="15")),"x","")</f>
        <v/>
      </c>
      <c r="Y1452" s="55" t="str">
        <f>IF(AND(OR(LEFT(TH!L1452,2)="15",LEFT(TH!M1452,2)="15"),'152-CT'!$J$8=TH!F1452),"x","")</f>
        <v/>
      </c>
      <c r="Z1452" s="55" t="str">
        <f>IF(AND(OR(LEFT(TH!L1452,2)="15",LEFT(TH!M1452,2)="15"),TK!$E$7=TH!F1452),"x","")</f>
        <v/>
      </c>
      <c r="AA1452" s="55" t="str">
        <f>IF(AND(B1452&lt;=NKC!$N$8,B1452&gt;=NKC!$M$8),"x","")</f>
        <v/>
      </c>
    </row>
    <row r="1453" spans="1:27" ht="15.75" customHeight="1">
      <c r="A1453" s="219" t="str">
        <f>IF(B1453&lt;&gt;"",IF(AND(B1453&gt;=_TM1,B1453&lt;=_TM2,OR(TH!L1453="1111",TH!M1453="1111")),TH!D1453,""),"")</f>
        <v/>
      </c>
      <c r="B1453" s="36" t="str">
        <f t="shared" si="57"/>
        <v/>
      </c>
      <c r="C1453" s="37"/>
      <c r="D1453" s="205"/>
      <c r="E1453" s="205"/>
      <c r="F1453" s="40"/>
      <c r="G1453" s="40"/>
      <c r="H1453" s="45"/>
      <c r="I1453" s="277"/>
      <c r="J1453" s="277"/>
      <c r="K1453" s="38"/>
      <c r="L1453" s="39"/>
      <c r="M1453" s="39"/>
      <c r="N1453" s="55" t="str">
        <f>IF(AND('331-CT'!$E$7=TH!H1453,OR(L1453="331",M1453="331")),"x","")</f>
        <v/>
      </c>
      <c r="O1453" s="55" t="str">
        <f>IF(AND($B1453&gt;='111'!$N$11,$B1453&lt;='111'!$O$11,OR($L1453=$O$7,$M1453=$O$7)),"x","")</f>
        <v/>
      </c>
      <c r="P1453" s="55" t="str">
        <f>IF(AND($L1453=$O$7,$B1453&lt;'111'!$N$11),"x","")</f>
        <v/>
      </c>
      <c r="Q1453" s="55" t="str">
        <f>IF(AND($M1453=$O$7,$B1453&lt;'111'!$N$11),"x","")</f>
        <v/>
      </c>
      <c r="R1453" s="55" t="str">
        <f>IF(ISERROR(FIND('112'!$M$9,G1453,1)),"",IF((AND(FIND('112'!$M$9,G1453,1)&gt;=1,$B1453&gt;='112'!$N$8,$B1453&lt;='112'!$O$8,OR($L1453='112'!$I$6,$M1453='112'!$I$6))),"x",""))</f>
        <v/>
      </c>
      <c r="S1453" s="55" t="str">
        <f>IF(ISERROR(FIND('112'!$M$9,G1453,1)),"",IF((AND(LEFT(G1453,2)=LEFT('112'!$M$9,2),B1453&lt;'112'!$N$8,$L1453='112'!$I$6)),"x",""))</f>
        <v/>
      </c>
      <c r="T1453" s="55" t="str">
        <f>IF(ISERROR(FIND('112'!$M$9,G1453,1)),"",IF((AND(RIGHT(G1453,2)=RIGHT('112'!$M$9,2),B1453&lt;'112'!$N$8,$M1453='112'!$I$6)),"x",""))</f>
        <v/>
      </c>
      <c r="U1453" s="55" t="str">
        <f>IF(AND('3411-CT'!$F$9=H1453,OR(LEFT(L1453,3)=$U$7,LEFT(M1453,3)=$U$7)),"x","")</f>
        <v/>
      </c>
      <c r="V1453" s="55" t="str">
        <f>IF(OR(TH!L1453=TH!$V$7,M1453=TH!$V$7),"x","")</f>
        <v/>
      </c>
      <c r="W1453" s="55" t="str">
        <f>IF(AND(OR(L1453="131",M1453="131"),H1453='131-CT'!$E$7),"x","")</f>
        <v/>
      </c>
      <c r="X1453" s="55" t="str">
        <f>IF(AND(B1453&gt;='IN-NX'!$P$3,B1453&lt;='IN-NX'!$Q$3,'IN-NX'!$D$7=D1453,OR(LEFT(TH!L1453,2)="15",LEFT(TH!M1453,2)="15")),"x","")</f>
        <v/>
      </c>
      <c r="Y1453" s="55" t="str">
        <f>IF(AND(OR(LEFT(TH!L1453,2)="15",LEFT(TH!M1453,2)="15"),'152-CT'!$J$8=TH!F1453),"x","")</f>
        <v/>
      </c>
      <c r="Z1453" s="55" t="str">
        <f>IF(AND(OR(LEFT(TH!L1453,2)="15",LEFT(TH!M1453,2)="15"),TK!$E$7=TH!F1453),"x","")</f>
        <v/>
      </c>
      <c r="AA1453" s="55" t="str">
        <f>IF(AND(B1453&lt;=NKC!$N$8,B1453&gt;=NKC!$M$8),"x","")</f>
        <v/>
      </c>
    </row>
    <row r="1454" spans="1:27" ht="15.75" customHeight="1">
      <c r="A1454" s="219" t="str">
        <f>IF(B1454&lt;&gt;"",IF(AND(B1454&gt;=_TM1,B1454&lt;=_TM2,OR(TH!L1454="1111",TH!M1454="1111")),TH!D1454,""),"")</f>
        <v/>
      </c>
      <c r="B1454" s="36" t="str">
        <f t="shared" si="57"/>
        <v/>
      </c>
      <c r="C1454" s="37"/>
      <c r="D1454" s="37"/>
      <c r="E1454" s="37"/>
      <c r="F1454" s="40"/>
      <c r="G1454" s="580"/>
      <c r="H1454" s="45"/>
      <c r="I1454" s="277"/>
      <c r="J1454" s="277"/>
      <c r="K1454" s="38"/>
      <c r="L1454" s="39"/>
      <c r="M1454" s="39"/>
      <c r="N1454" s="55" t="str">
        <f>IF(AND('331-CT'!$E$7=TH!H1454,OR(L1454="331",M1454="331")),"x","")</f>
        <v/>
      </c>
      <c r="O1454" s="55" t="str">
        <f>IF(AND($B1454&gt;='111'!$N$11,$B1454&lt;='111'!$O$11,OR($L1454=$O$7,$M1454=$O$7)),"x","")</f>
        <v/>
      </c>
      <c r="P1454" s="55" t="str">
        <f>IF(AND($L1454=$O$7,$B1454&lt;'111'!$N$11),"x","")</f>
        <v/>
      </c>
      <c r="Q1454" s="55" t="str">
        <f>IF(AND($M1454=$O$7,$B1454&lt;'111'!$N$11),"x","")</f>
        <v/>
      </c>
      <c r="R1454" s="55" t="str">
        <f>IF(ISERROR(FIND('112'!$M$9,G1454,1)),"",IF((AND(FIND('112'!$M$9,G1454,1)&gt;=1,$B1454&gt;='112'!$N$8,$B1454&lt;='112'!$O$8,OR($L1454='112'!$I$6,$M1454='112'!$I$6))),"x",""))</f>
        <v/>
      </c>
      <c r="S1454" s="55" t="str">
        <f>IF(ISERROR(FIND('112'!$M$9,G1454,1)),"",IF((AND(LEFT(G1454,2)=LEFT('112'!$M$9,2),B1454&lt;'112'!$N$8,$L1454='112'!$I$6)),"x",""))</f>
        <v/>
      </c>
      <c r="T1454" s="55" t="str">
        <f>IF(ISERROR(FIND('112'!$M$9,G1454,1)),"",IF((AND(RIGHT(G1454,2)=RIGHT('112'!$M$9,2),B1454&lt;'112'!$N$8,$M1454='112'!$I$6)),"x",""))</f>
        <v/>
      </c>
      <c r="U1454" s="55" t="str">
        <f>IF(AND('3411-CT'!$F$9=H1454,OR(LEFT(L1454,3)=$U$7,LEFT(M1454,3)=$U$7)),"x","")</f>
        <v/>
      </c>
      <c r="V1454" s="55" t="str">
        <f>IF(OR(TH!L1454=TH!$V$7,M1454=TH!$V$7),"x","")</f>
        <v/>
      </c>
      <c r="W1454" s="55" t="str">
        <f>IF(AND(OR(L1454="131",M1454="131"),H1454='131-CT'!$E$7),"x","")</f>
        <v/>
      </c>
      <c r="X1454" s="55" t="str">
        <f>IF(AND(B1454&gt;='IN-NX'!$P$3,B1454&lt;='IN-NX'!$Q$3,'IN-NX'!$D$7=D1454,OR(LEFT(TH!L1454,2)="15",LEFT(TH!M1454,2)="15")),"x","")</f>
        <v/>
      </c>
      <c r="Y1454" s="55" t="str">
        <f>IF(AND(OR(LEFT(TH!L1454,2)="15",LEFT(TH!M1454,2)="15"),'152-CT'!$J$8=TH!F1454),"x","")</f>
        <v/>
      </c>
      <c r="Z1454" s="55" t="str">
        <f>IF(AND(OR(LEFT(TH!L1454,2)="15",LEFT(TH!M1454,2)="15"),TK!$E$7=TH!F1454),"x","")</f>
        <v/>
      </c>
      <c r="AA1454" s="55" t="str">
        <f>IF(AND(B1454&lt;=NKC!$N$8,B1454&gt;=NKC!$M$8),"x","")</f>
        <v/>
      </c>
    </row>
    <row r="1455" spans="1:27" ht="15.75" customHeight="1">
      <c r="A1455" s="219" t="str">
        <f>IF(B1455&lt;&gt;"",IF(AND(B1455&gt;=_TM1,B1455&lt;=_TM2,OR(TH!L1455="1111",TH!M1455="1111")),TH!D1455,""),"")</f>
        <v/>
      </c>
      <c r="B1455" s="36" t="str">
        <f t="shared" si="57"/>
        <v/>
      </c>
      <c r="C1455" s="37"/>
      <c r="D1455" s="37"/>
      <c r="E1455" s="37"/>
      <c r="F1455" s="40"/>
      <c r="G1455" s="580"/>
      <c r="H1455" s="45"/>
      <c r="I1455" s="277"/>
      <c r="J1455" s="277"/>
      <c r="K1455" s="38"/>
      <c r="L1455" s="39"/>
      <c r="M1455" s="39"/>
      <c r="N1455" s="55" t="str">
        <f>IF(AND('331-CT'!$E$7=TH!H1455,OR(L1455="331",M1455="331")),"x","")</f>
        <v/>
      </c>
      <c r="O1455" s="55" t="str">
        <f>IF(AND($B1455&gt;='111'!$N$11,$B1455&lt;='111'!$O$11,OR($L1455=$O$7,$M1455=$O$7)),"x","")</f>
        <v/>
      </c>
      <c r="P1455" s="55" t="str">
        <f>IF(AND($L1455=$O$7,$B1455&lt;'111'!$N$11),"x","")</f>
        <v/>
      </c>
      <c r="Q1455" s="55" t="str">
        <f>IF(AND($M1455=$O$7,$B1455&lt;'111'!$N$11),"x","")</f>
        <v/>
      </c>
      <c r="R1455" s="55" t="str">
        <f>IF(ISERROR(FIND('112'!$M$9,G1455,1)),"",IF((AND(FIND('112'!$M$9,G1455,1)&gt;=1,$B1455&gt;='112'!$N$8,$B1455&lt;='112'!$O$8,OR($L1455='112'!$I$6,$M1455='112'!$I$6))),"x",""))</f>
        <v/>
      </c>
      <c r="S1455" s="55" t="str">
        <f>IF(ISERROR(FIND('112'!$M$9,G1455,1)),"",IF((AND(LEFT(G1455,2)=LEFT('112'!$M$9,2),B1455&lt;'112'!$N$8,$L1455='112'!$I$6)),"x",""))</f>
        <v/>
      </c>
      <c r="T1455" s="55" t="str">
        <f>IF(ISERROR(FIND('112'!$M$9,G1455,1)),"",IF((AND(RIGHT(G1455,2)=RIGHT('112'!$M$9,2),B1455&lt;'112'!$N$8,$M1455='112'!$I$6)),"x",""))</f>
        <v/>
      </c>
      <c r="U1455" s="55" t="str">
        <f>IF(AND('3411-CT'!$F$9=H1455,OR(LEFT(L1455,3)=$U$7,LEFT(M1455,3)=$U$7)),"x","")</f>
        <v/>
      </c>
      <c r="V1455" s="55" t="str">
        <f>IF(OR(TH!L1455=TH!$V$7,M1455=TH!$V$7),"x","")</f>
        <v/>
      </c>
      <c r="W1455" s="55" t="str">
        <f>IF(AND(OR(L1455="131",M1455="131"),H1455='131-CT'!$E$7),"x","")</f>
        <v/>
      </c>
      <c r="X1455" s="55" t="str">
        <f>IF(AND(B1455&gt;='IN-NX'!$P$3,B1455&lt;='IN-NX'!$Q$3,'IN-NX'!$D$7=D1455,OR(LEFT(TH!L1455,2)="15",LEFT(TH!M1455,2)="15")),"x","")</f>
        <v/>
      </c>
      <c r="Y1455" s="55" t="str">
        <f>IF(AND(OR(LEFT(TH!L1455,2)="15",LEFT(TH!M1455,2)="15"),'152-CT'!$J$8=TH!F1455),"x","")</f>
        <v/>
      </c>
      <c r="Z1455" s="55" t="str">
        <f>IF(AND(OR(LEFT(TH!L1455,2)="15",LEFT(TH!M1455,2)="15"),TK!$E$7=TH!F1455),"x","")</f>
        <v/>
      </c>
      <c r="AA1455" s="55" t="str">
        <f>IF(AND(B1455&lt;=NKC!$N$8,B1455&gt;=NKC!$M$8),"x","")</f>
        <v/>
      </c>
    </row>
    <row r="1456" spans="1:27" ht="15.75" customHeight="1">
      <c r="A1456" s="219" t="str">
        <f>IF(B1456&lt;&gt;"",IF(AND(B1456&gt;=_TM1,B1456&lt;=_TM2,OR(TH!L1456="1111",TH!M1456="1111")),TH!D1456,""),"")</f>
        <v/>
      </c>
      <c r="B1456" s="36" t="str">
        <f t="shared" si="57"/>
        <v/>
      </c>
      <c r="C1456" s="37"/>
      <c r="D1456" s="37"/>
      <c r="E1456" s="37"/>
      <c r="F1456" s="40"/>
      <c r="G1456" s="40"/>
      <c r="H1456" s="45"/>
      <c r="I1456" s="277"/>
      <c r="J1456" s="277"/>
      <c r="K1456" s="38"/>
      <c r="L1456" s="39"/>
      <c r="M1456" s="39"/>
      <c r="N1456" s="55" t="str">
        <f>IF(AND('331-CT'!$E$7=TH!H1456,OR(L1456="331",M1456="331")),"x","")</f>
        <v/>
      </c>
      <c r="O1456" s="55" t="str">
        <f>IF(AND($B1456&gt;='111'!$N$11,$B1456&lt;='111'!$O$11,OR($L1456=$O$7,$M1456=$O$7)),"x","")</f>
        <v/>
      </c>
      <c r="P1456" s="55" t="str">
        <f>IF(AND($L1456=$O$7,$B1456&lt;'111'!$N$11),"x","")</f>
        <v/>
      </c>
      <c r="Q1456" s="55" t="str">
        <f>IF(AND($M1456=$O$7,$B1456&lt;'111'!$N$11),"x","")</f>
        <v/>
      </c>
      <c r="R1456" s="55" t="str">
        <f>IF(ISERROR(FIND('112'!$M$9,G1456,1)),"",IF((AND(FIND('112'!$M$9,G1456,1)&gt;=1,$B1456&gt;='112'!$N$8,$B1456&lt;='112'!$O$8,OR($L1456='112'!$I$6,$M1456='112'!$I$6))),"x",""))</f>
        <v/>
      </c>
      <c r="S1456" s="55" t="str">
        <f>IF(ISERROR(FIND('112'!$M$9,G1456,1)),"",IF((AND(LEFT(G1456,2)=LEFT('112'!$M$9,2),B1456&lt;'112'!$N$8,$L1456='112'!$I$6)),"x",""))</f>
        <v/>
      </c>
      <c r="T1456" s="55" t="str">
        <f>IF(ISERROR(FIND('112'!$M$9,G1456,1)),"",IF((AND(RIGHT(G1456,2)=RIGHT('112'!$M$9,2),B1456&lt;'112'!$N$8,$M1456='112'!$I$6)),"x",""))</f>
        <v/>
      </c>
      <c r="U1456" s="55" t="str">
        <f>IF(AND('3411-CT'!$F$9=H1456,OR(LEFT(L1456,3)=$U$7,LEFT(M1456,3)=$U$7)),"x","")</f>
        <v/>
      </c>
      <c r="V1456" s="55" t="str">
        <f>IF(OR(TH!L1456=TH!$V$7,M1456=TH!$V$7),"x","")</f>
        <v/>
      </c>
      <c r="W1456" s="55" t="str">
        <f>IF(AND(OR(L1456="131",M1456="131"),H1456='131-CT'!$E$7),"x","")</f>
        <v/>
      </c>
      <c r="X1456" s="55" t="str">
        <f>IF(AND(B1456&gt;='IN-NX'!$P$3,B1456&lt;='IN-NX'!$Q$3,'IN-NX'!$D$7=D1456,OR(LEFT(TH!L1456,2)="15",LEFT(TH!M1456,2)="15")),"x","")</f>
        <v/>
      </c>
      <c r="Y1456" s="55" t="str">
        <f>IF(AND(OR(LEFT(TH!L1456,2)="15",LEFT(TH!M1456,2)="15"),'152-CT'!$J$8=TH!F1456),"x","")</f>
        <v/>
      </c>
      <c r="Z1456" s="55" t="str">
        <f>IF(AND(OR(LEFT(TH!L1456,2)="15",LEFT(TH!M1456,2)="15"),TK!$E$7=TH!F1456),"x","")</f>
        <v/>
      </c>
      <c r="AA1456" s="55" t="str">
        <f>IF(AND(B1456&lt;=NKC!$N$8,B1456&gt;=NKC!$M$8),"x","")</f>
        <v/>
      </c>
    </row>
    <row r="1457" spans="1:27" ht="15.75" customHeight="1">
      <c r="A1457" s="219" t="str">
        <f>IF(B1457&lt;&gt;"",IF(AND(B1457&gt;=_TM1,B1457&lt;=_TM2,OR(TH!L1457="1111",TH!M1457="1111")),TH!D1457,""),"")</f>
        <v/>
      </c>
      <c r="B1457" s="36" t="str">
        <f t="shared" si="57"/>
        <v/>
      </c>
      <c r="C1457" s="37"/>
      <c r="D1457" s="37"/>
      <c r="E1457" s="37"/>
      <c r="F1457" s="40"/>
      <c r="G1457" s="40"/>
      <c r="H1457" s="45"/>
      <c r="I1457" s="277"/>
      <c r="J1457" s="277"/>
      <c r="K1457" s="38"/>
      <c r="L1457" s="39"/>
      <c r="M1457" s="39"/>
      <c r="N1457" s="55" t="str">
        <f>IF(AND('331-CT'!$E$7=TH!H1457,OR(L1457="331",M1457="331")),"x","")</f>
        <v/>
      </c>
      <c r="O1457" s="55" t="str">
        <f>IF(AND($B1457&gt;='111'!$N$11,$B1457&lt;='111'!$O$11,OR($L1457=$O$7,$M1457=$O$7)),"x","")</f>
        <v/>
      </c>
      <c r="P1457" s="55" t="str">
        <f>IF(AND($L1457=$O$7,$B1457&lt;'111'!$N$11),"x","")</f>
        <v/>
      </c>
      <c r="Q1457" s="55" t="str">
        <f>IF(AND($M1457=$O$7,$B1457&lt;'111'!$N$11),"x","")</f>
        <v/>
      </c>
      <c r="R1457" s="55" t="str">
        <f>IF(ISERROR(FIND('112'!$M$9,G1457,1)),"",IF((AND(FIND('112'!$M$9,G1457,1)&gt;=1,$B1457&gt;='112'!$N$8,$B1457&lt;='112'!$O$8,OR($L1457='112'!$I$6,$M1457='112'!$I$6))),"x",""))</f>
        <v/>
      </c>
      <c r="S1457" s="55" t="str">
        <f>IF(ISERROR(FIND('112'!$M$9,G1457,1)),"",IF((AND(LEFT(G1457,2)=LEFT('112'!$M$9,2),B1457&lt;'112'!$N$8,$L1457='112'!$I$6)),"x",""))</f>
        <v/>
      </c>
      <c r="T1457" s="55" t="str">
        <f>IF(ISERROR(FIND('112'!$M$9,G1457,1)),"",IF((AND(RIGHT(G1457,2)=RIGHT('112'!$M$9,2),B1457&lt;'112'!$N$8,$M1457='112'!$I$6)),"x",""))</f>
        <v/>
      </c>
      <c r="U1457" s="55" t="str">
        <f>IF(AND('3411-CT'!$F$9=H1457,OR(LEFT(L1457,3)=$U$7,LEFT(M1457,3)=$U$7)),"x","")</f>
        <v/>
      </c>
      <c r="V1457" s="55" t="str">
        <f>IF(OR(TH!L1457=TH!$V$7,M1457=TH!$V$7),"x","")</f>
        <v/>
      </c>
      <c r="W1457" s="55" t="str">
        <f>IF(AND(OR(L1457="131",M1457="131"),H1457='131-CT'!$E$7),"x","")</f>
        <v/>
      </c>
      <c r="X1457" s="55" t="str">
        <f>IF(AND(B1457&gt;='IN-NX'!$P$3,B1457&lt;='IN-NX'!$Q$3,'IN-NX'!$D$7=D1457,OR(LEFT(TH!L1457,2)="15",LEFT(TH!M1457,2)="15")),"x","")</f>
        <v/>
      </c>
      <c r="Y1457" s="55" t="str">
        <f>IF(AND(OR(LEFT(TH!L1457,2)="15",LEFT(TH!M1457,2)="15"),'152-CT'!$J$8=TH!F1457),"x","")</f>
        <v/>
      </c>
      <c r="Z1457" s="55" t="str">
        <f>IF(AND(OR(LEFT(TH!L1457,2)="15",LEFT(TH!M1457,2)="15"),TK!$E$7=TH!F1457),"x","")</f>
        <v/>
      </c>
      <c r="AA1457" s="55" t="str">
        <f>IF(AND(B1457&lt;=NKC!$N$8,B1457&gt;=NKC!$M$8),"x","")</f>
        <v/>
      </c>
    </row>
    <row r="1458" spans="1:27" ht="15.75" customHeight="1">
      <c r="A1458" s="219" t="str">
        <f>IF(B1458&lt;&gt;"",IF(AND(B1458&gt;=_TM1,B1458&lt;=_TM2,OR(TH!L1458="1111",TH!M1458="1111")),TH!D1458,""),"")</f>
        <v/>
      </c>
      <c r="B1458" s="36" t="str">
        <f t="shared" si="57"/>
        <v/>
      </c>
      <c r="C1458" s="37"/>
      <c r="D1458" s="37"/>
      <c r="E1458" s="37"/>
      <c r="F1458" s="40"/>
      <c r="G1458" s="40"/>
      <c r="H1458" s="45"/>
      <c r="I1458" s="277"/>
      <c r="J1458" s="277"/>
      <c r="K1458" s="38"/>
      <c r="L1458" s="39"/>
      <c r="M1458" s="39"/>
      <c r="N1458" s="55" t="str">
        <f>IF(AND('331-CT'!$E$7=TH!H1458,OR(L1458="331",M1458="331")),"x","")</f>
        <v/>
      </c>
      <c r="O1458" s="55" t="str">
        <f>IF(AND($B1458&gt;='111'!$N$11,$B1458&lt;='111'!$O$11,OR($L1458=$O$7,$M1458=$O$7)),"x","")</f>
        <v/>
      </c>
      <c r="P1458" s="55" t="str">
        <f>IF(AND($L1458=$O$7,$B1458&lt;'111'!$N$11),"x","")</f>
        <v/>
      </c>
      <c r="Q1458" s="55" t="str">
        <f>IF(AND($M1458=$O$7,$B1458&lt;'111'!$N$11),"x","")</f>
        <v/>
      </c>
      <c r="R1458" s="55" t="str">
        <f>IF(ISERROR(FIND('112'!$M$9,G1458,1)),"",IF((AND(FIND('112'!$M$9,G1458,1)&gt;=1,$B1458&gt;='112'!$N$8,$B1458&lt;='112'!$O$8,OR($L1458='112'!$I$6,$M1458='112'!$I$6))),"x",""))</f>
        <v/>
      </c>
      <c r="S1458" s="55" t="str">
        <f>IF(ISERROR(FIND('112'!$M$9,G1458,1)),"",IF((AND(LEFT(G1458,2)=LEFT('112'!$M$9,2),B1458&lt;'112'!$N$8,$L1458='112'!$I$6)),"x",""))</f>
        <v/>
      </c>
      <c r="T1458" s="55" t="str">
        <f>IF(ISERROR(FIND('112'!$M$9,G1458,1)),"",IF((AND(RIGHT(G1458,2)=RIGHT('112'!$M$9,2),B1458&lt;'112'!$N$8,$M1458='112'!$I$6)),"x",""))</f>
        <v/>
      </c>
      <c r="U1458" s="55" t="str">
        <f>IF(AND('3411-CT'!$F$9=H1458,OR(LEFT(L1458,3)=$U$7,LEFT(M1458,3)=$U$7)),"x","")</f>
        <v/>
      </c>
      <c r="V1458" s="55" t="str">
        <f>IF(OR(TH!L1458=TH!$V$7,M1458=TH!$V$7),"x","")</f>
        <v/>
      </c>
      <c r="W1458" s="55" t="str">
        <f>IF(AND(OR(L1458="131",M1458="131"),H1458='131-CT'!$E$7),"x","")</f>
        <v/>
      </c>
      <c r="X1458" s="55" t="str">
        <f>IF(AND(B1458&gt;='IN-NX'!$P$3,B1458&lt;='IN-NX'!$Q$3,'IN-NX'!$D$7=D1458,OR(LEFT(TH!L1458,2)="15",LEFT(TH!M1458,2)="15")),"x","")</f>
        <v/>
      </c>
      <c r="Y1458" s="55" t="str">
        <f>IF(AND(OR(LEFT(TH!L1458,2)="15",LEFT(TH!M1458,2)="15"),'152-CT'!$J$8=TH!F1458),"x","")</f>
        <v/>
      </c>
      <c r="Z1458" s="55" t="str">
        <f>IF(AND(OR(LEFT(TH!L1458,2)="15",LEFT(TH!M1458,2)="15"),TK!$E$7=TH!F1458),"x","")</f>
        <v/>
      </c>
      <c r="AA1458" s="55" t="str">
        <f>IF(AND(B1458&lt;=NKC!$N$8,B1458&gt;=NKC!$M$8),"x","")</f>
        <v/>
      </c>
    </row>
    <row r="1459" spans="1:27" ht="15.75" customHeight="1">
      <c r="A1459" s="219" t="str">
        <f>IF(B1459&lt;&gt;"",IF(AND(B1459&gt;=_TM1,B1459&lt;=_TM2,OR(TH!L1459="1111",TH!M1459="1111")),TH!D1459,""),"")</f>
        <v/>
      </c>
      <c r="B1459" s="36" t="str">
        <f t="shared" si="57"/>
        <v/>
      </c>
      <c r="C1459" s="37"/>
      <c r="D1459" s="37"/>
      <c r="E1459" s="37"/>
      <c r="F1459" s="40"/>
      <c r="G1459" s="40"/>
      <c r="H1459" s="45"/>
      <c r="I1459" s="277"/>
      <c r="J1459" s="277"/>
      <c r="K1459" s="38"/>
      <c r="L1459" s="39"/>
      <c r="M1459" s="39"/>
      <c r="N1459" s="55" t="str">
        <f>IF(AND('331-CT'!$E$7=TH!H1459,OR(L1459="331",M1459="331")),"x","")</f>
        <v/>
      </c>
      <c r="O1459" s="55" t="str">
        <f>IF(AND($B1459&gt;='111'!$N$11,$B1459&lt;='111'!$O$11,OR($L1459=$O$7,$M1459=$O$7)),"x","")</f>
        <v/>
      </c>
      <c r="P1459" s="55" t="str">
        <f>IF(AND($L1459=$O$7,$B1459&lt;'111'!$N$11),"x","")</f>
        <v/>
      </c>
      <c r="Q1459" s="55" t="str">
        <f>IF(AND($M1459=$O$7,$B1459&lt;'111'!$N$11),"x","")</f>
        <v/>
      </c>
      <c r="R1459" s="55" t="str">
        <f>IF(ISERROR(FIND('112'!$M$9,G1459,1)),"",IF((AND(FIND('112'!$M$9,G1459,1)&gt;=1,$B1459&gt;='112'!$N$8,$B1459&lt;='112'!$O$8,OR($L1459='112'!$I$6,$M1459='112'!$I$6))),"x",""))</f>
        <v/>
      </c>
      <c r="S1459" s="55" t="str">
        <f>IF(ISERROR(FIND('112'!$M$9,G1459,1)),"",IF((AND(LEFT(G1459,2)=LEFT('112'!$M$9,2),B1459&lt;'112'!$N$8,$L1459='112'!$I$6)),"x",""))</f>
        <v/>
      </c>
      <c r="T1459" s="55" t="str">
        <f>IF(ISERROR(FIND('112'!$M$9,G1459,1)),"",IF((AND(RIGHT(G1459,2)=RIGHT('112'!$M$9,2),B1459&lt;'112'!$N$8,$M1459='112'!$I$6)),"x",""))</f>
        <v/>
      </c>
      <c r="U1459" s="55" t="str">
        <f>IF(AND('3411-CT'!$F$9=H1459,OR(LEFT(L1459,3)=$U$7,LEFT(M1459,3)=$U$7)),"x","")</f>
        <v/>
      </c>
      <c r="V1459" s="55" t="str">
        <f>IF(OR(TH!L1459=TH!$V$7,M1459=TH!$V$7),"x","")</f>
        <v/>
      </c>
      <c r="W1459" s="55" t="str">
        <f>IF(AND(OR(L1459="131",M1459="131"),H1459='131-CT'!$E$7),"x","")</f>
        <v/>
      </c>
      <c r="X1459" s="55" t="str">
        <f>IF(AND(B1459&gt;='IN-NX'!$P$3,B1459&lt;='IN-NX'!$Q$3,'IN-NX'!$D$7=D1459,OR(LEFT(TH!L1459,2)="15",LEFT(TH!M1459,2)="15")),"x","")</f>
        <v/>
      </c>
      <c r="Y1459" s="55" t="str">
        <f>IF(AND(OR(LEFT(TH!L1459,2)="15",LEFT(TH!M1459,2)="15"),'152-CT'!$J$8=TH!F1459),"x","")</f>
        <v/>
      </c>
      <c r="Z1459" s="55" t="str">
        <f>IF(AND(OR(LEFT(TH!L1459,2)="15",LEFT(TH!M1459,2)="15"),TK!$E$7=TH!F1459),"x","")</f>
        <v/>
      </c>
      <c r="AA1459" s="55" t="str">
        <f>IF(AND(B1459&lt;=NKC!$N$8,B1459&gt;=NKC!$M$8),"x","")</f>
        <v/>
      </c>
    </row>
    <row r="1460" spans="1:27" ht="15.75" customHeight="1">
      <c r="A1460" s="219" t="str">
        <f>IF(B1460&lt;&gt;"",IF(AND(B1460&gt;=_TM1,B1460&lt;=_TM2,OR(TH!L1460="1111",TH!M1460="1111")),TH!D1460,""),"")</f>
        <v/>
      </c>
      <c r="B1460" s="36" t="str">
        <f t="shared" si="57"/>
        <v/>
      </c>
      <c r="C1460" s="37"/>
      <c r="D1460" s="37"/>
      <c r="E1460" s="37"/>
      <c r="F1460" s="40"/>
      <c r="G1460" s="40"/>
      <c r="H1460" s="45"/>
      <c r="I1460" s="277"/>
      <c r="J1460" s="277"/>
      <c r="K1460" s="38"/>
      <c r="L1460" s="39"/>
      <c r="M1460" s="39"/>
      <c r="N1460" s="55" t="str">
        <f>IF(AND('331-CT'!$E$7=TH!H1460,OR(L1460="331",M1460="331")),"x","")</f>
        <v/>
      </c>
      <c r="O1460" s="55" t="str">
        <f>IF(AND($B1460&gt;='111'!$N$11,$B1460&lt;='111'!$O$11,OR($L1460=$O$7,$M1460=$O$7)),"x","")</f>
        <v/>
      </c>
      <c r="P1460" s="55" t="str">
        <f>IF(AND($L1460=$O$7,$B1460&lt;'111'!$N$11),"x","")</f>
        <v/>
      </c>
      <c r="Q1460" s="55" t="str">
        <f>IF(AND($M1460=$O$7,$B1460&lt;'111'!$N$11),"x","")</f>
        <v/>
      </c>
      <c r="R1460" s="55" t="str">
        <f>IF(ISERROR(FIND('112'!$M$9,G1460,1)),"",IF((AND(FIND('112'!$M$9,G1460,1)&gt;=1,$B1460&gt;='112'!$N$8,$B1460&lt;='112'!$O$8,OR($L1460='112'!$I$6,$M1460='112'!$I$6))),"x",""))</f>
        <v/>
      </c>
      <c r="S1460" s="55" t="str">
        <f>IF(ISERROR(FIND('112'!$M$9,G1460,1)),"",IF((AND(LEFT(G1460,2)=LEFT('112'!$M$9,2),B1460&lt;'112'!$N$8,$L1460='112'!$I$6)),"x",""))</f>
        <v/>
      </c>
      <c r="T1460" s="55" t="str">
        <f>IF(ISERROR(FIND('112'!$M$9,G1460,1)),"",IF((AND(RIGHT(G1460,2)=RIGHT('112'!$M$9,2),B1460&lt;'112'!$N$8,$M1460='112'!$I$6)),"x",""))</f>
        <v/>
      </c>
      <c r="U1460" s="55" t="str">
        <f>IF(AND('3411-CT'!$F$9=H1460,OR(LEFT(L1460,3)=$U$7,LEFT(M1460,3)=$U$7)),"x","")</f>
        <v/>
      </c>
      <c r="V1460" s="55" t="str">
        <f>IF(OR(TH!L1460=TH!$V$7,M1460=TH!$V$7),"x","")</f>
        <v/>
      </c>
      <c r="W1460" s="55" t="str">
        <f>IF(AND(OR(L1460="131",M1460="131"),H1460='131-CT'!$E$7),"x","")</f>
        <v/>
      </c>
      <c r="X1460" s="55" t="str">
        <f>IF(AND(B1460&gt;='IN-NX'!$P$3,B1460&lt;='IN-NX'!$Q$3,'IN-NX'!$D$7=D1460,OR(LEFT(TH!L1460,2)="15",LEFT(TH!M1460,2)="15")),"x","")</f>
        <v/>
      </c>
      <c r="Y1460" s="55" t="str">
        <f>IF(AND(OR(LEFT(TH!L1460,2)="15",LEFT(TH!M1460,2)="15"),'152-CT'!$J$8=TH!F1460),"x","")</f>
        <v/>
      </c>
      <c r="Z1460" s="55" t="str">
        <f>IF(AND(OR(LEFT(TH!L1460,2)="15",LEFT(TH!M1460,2)="15"),TK!$E$7=TH!F1460),"x","")</f>
        <v/>
      </c>
      <c r="AA1460" s="55" t="str">
        <f>IF(AND(B1460&lt;=NKC!$N$8,B1460&gt;=NKC!$M$8),"x","")</f>
        <v/>
      </c>
    </row>
    <row r="1461" spans="1:27" ht="15.75" customHeight="1">
      <c r="A1461" s="219" t="str">
        <f>IF(B1461&lt;&gt;"",IF(AND(B1461&gt;=_TM1,B1461&lt;=_TM2,OR(TH!L1461="1111",TH!M1461="1111")),TH!D1461,""),"")</f>
        <v/>
      </c>
      <c r="B1461" s="36" t="str">
        <f t="shared" si="57"/>
        <v/>
      </c>
      <c r="C1461" s="37"/>
      <c r="D1461" s="37"/>
      <c r="E1461" s="37"/>
      <c r="F1461" s="40"/>
      <c r="G1461" s="40"/>
      <c r="H1461" s="45"/>
      <c r="I1461" s="277"/>
      <c r="J1461" s="277"/>
      <c r="K1461" s="38"/>
      <c r="L1461" s="39"/>
      <c r="M1461" s="39"/>
      <c r="N1461" s="55" t="str">
        <f>IF(AND('331-CT'!$E$7=TH!H1461,OR(L1461="331",M1461="331")),"x","")</f>
        <v/>
      </c>
      <c r="O1461" s="55" t="str">
        <f>IF(AND($B1461&gt;='111'!$N$11,$B1461&lt;='111'!$O$11,OR($L1461=$O$7,$M1461=$O$7)),"x","")</f>
        <v/>
      </c>
      <c r="P1461" s="55" t="str">
        <f>IF(AND($L1461=$O$7,$B1461&lt;'111'!$N$11),"x","")</f>
        <v/>
      </c>
      <c r="Q1461" s="55" t="str">
        <f>IF(AND($M1461=$O$7,$B1461&lt;'111'!$N$11),"x","")</f>
        <v/>
      </c>
      <c r="R1461" s="55" t="str">
        <f>IF(ISERROR(FIND('112'!$M$9,G1461,1)),"",IF((AND(FIND('112'!$M$9,G1461,1)&gt;=1,$B1461&gt;='112'!$N$8,$B1461&lt;='112'!$O$8,OR($L1461='112'!$I$6,$M1461='112'!$I$6))),"x",""))</f>
        <v/>
      </c>
      <c r="S1461" s="55" t="str">
        <f>IF(ISERROR(FIND('112'!$M$9,G1461,1)),"",IF((AND(LEFT(G1461,2)=LEFT('112'!$M$9,2),B1461&lt;'112'!$N$8,$L1461='112'!$I$6)),"x",""))</f>
        <v/>
      </c>
      <c r="T1461" s="55" t="str">
        <f>IF(ISERROR(FIND('112'!$M$9,G1461,1)),"",IF((AND(RIGHT(G1461,2)=RIGHT('112'!$M$9,2),B1461&lt;'112'!$N$8,$M1461='112'!$I$6)),"x",""))</f>
        <v/>
      </c>
      <c r="U1461" s="55" t="str">
        <f>IF(AND('3411-CT'!$F$9=H1461,OR(LEFT(L1461,3)=$U$7,LEFT(M1461,3)=$U$7)),"x","")</f>
        <v/>
      </c>
      <c r="V1461" s="55" t="str">
        <f>IF(OR(TH!L1461=TH!$V$7,M1461=TH!$V$7),"x","")</f>
        <v/>
      </c>
      <c r="W1461" s="55" t="str">
        <f>IF(AND(OR(L1461="131",M1461="131"),H1461='131-CT'!$E$7),"x","")</f>
        <v/>
      </c>
      <c r="X1461" s="55" t="str">
        <f>IF(AND(B1461&gt;='IN-NX'!$P$3,B1461&lt;='IN-NX'!$Q$3,'IN-NX'!$D$7=D1461,OR(LEFT(TH!L1461,2)="15",LEFT(TH!M1461,2)="15")),"x","")</f>
        <v/>
      </c>
      <c r="Y1461" s="55" t="str">
        <f>IF(AND(OR(LEFT(TH!L1461,2)="15",LEFT(TH!M1461,2)="15"),'152-CT'!$J$8=TH!F1461),"x","")</f>
        <v/>
      </c>
      <c r="Z1461" s="55" t="str">
        <f>IF(AND(OR(LEFT(TH!L1461,2)="15",LEFT(TH!M1461,2)="15"),TK!$E$7=TH!F1461),"x","")</f>
        <v/>
      </c>
      <c r="AA1461" s="55" t="str">
        <f>IF(AND(B1461&lt;=NKC!$N$8,B1461&gt;=NKC!$M$8),"x","")</f>
        <v/>
      </c>
    </row>
    <row r="1462" spans="1:27" ht="15.75" customHeight="1">
      <c r="A1462" s="219" t="str">
        <f>IF(B1462&lt;&gt;"",IF(AND(B1462&gt;=_TM1,B1462&lt;=_TM2,OR(TH!L1462="1111",TH!M1462="1111")),TH!D1462,""),"")</f>
        <v/>
      </c>
      <c r="B1462" s="36" t="str">
        <f t="shared" si="57"/>
        <v/>
      </c>
      <c r="C1462" s="37"/>
      <c r="D1462" s="37"/>
      <c r="E1462" s="37"/>
      <c r="F1462" s="40"/>
      <c r="G1462" s="40"/>
      <c r="H1462" s="45"/>
      <c r="I1462" s="277"/>
      <c r="J1462" s="277"/>
      <c r="K1462" s="38"/>
      <c r="L1462" s="39"/>
      <c r="M1462" s="39"/>
      <c r="N1462" s="55" t="str">
        <f>IF(AND('331-CT'!$E$7=TH!H1462,OR(L1462="331",M1462="331")),"x","")</f>
        <v/>
      </c>
      <c r="O1462" s="55" t="str">
        <f>IF(AND($B1462&gt;='111'!$N$11,$B1462&lt;='111'!$O$11,OR($L1462=$O$7,$M1462=$O$7)),"x","")</f>
        <v/>
      </c>
      <c r="P1462" s="55" t="str">
        <f>IF(AND($L1462=$O$7,$B1462&lt;'111'!$N$11),"x","")</f>
        <v/>
      </c>
      <c r="Q1462" s="55" t="str">
        <f>IF(AND($M1462=$O$7,$B1462&lt;'111'!$N$11),"x","")</f>
        <v/>
      </c>
      <c r="R1462" s="55" t="str">
        <f>IF(ISERROR(FIND('112'!$M$9,G1462,1)),"",IF((AND(FIND('112'!$M$9,G1462,1)&gt;=1,$B1462&gt;='112'!$N$8,$B1462&lt;='112'!$O$8,OR($L1462='112'!$I$6,$M1462='112'!$I$6))),"x",""))</f>
        <v/>
      </c>
      <c r="S1462" s="55" t="str">
        <f>IF(ISERROR(FIND('112'!$M$9,G1462,1)),"",IF((AND(LEFT(G1462,2)=LEFT('112'!$M$9,2),B1462&lt;'112'!$N$8,$L1462='112'!$I$6)),"x",""))</f>
        <v/>
      </c>
      <c r="T1462" s="55" t="str">
        <f>IF(ISERROR(FIND('112'!$M$9,G1462,1)),"",IF((AND(RIGHT(G1462,2)=RIGHT('112'!$M$9,2),B1462&lt;'112'!$N$8,$M1462='112'!$I$6)),"x",""))</f>
        <v/>
      </c>
      <c r="U1462" s="55" t="str">
        <f>IF(AND('3411-CT'!$F$9=H1462,OR(LEFT(L1462,3)=$U$7,LEFT(M1462,3)=$U$7)),"x","")</f>
        <v/>
      </c>
      <c r="V1462" s="55" t="str">
        <f>IF(OR(TH!L1462=TH!$V$7,M1462=TH!$V$7),"x","")</f>
        <v/>
      </c>
      <c r="W1462" s="55" t="str">
        <f>IF(AND(OR(L1462="131",M1462="131"),H1462='131-CT'!$E$7),"x","")</f>
        <v/>
      </c>
      <c r="X1462" s="55" t="str">
        <f>IF(AND(B1462&gt;='IN-NX'!$P$3,B1462&lt;='IN-NX'!$Q$3,'IN-NX'!$D$7=D1462,OR(LEFT(TH!L1462,2)="15",LEFT(TH!M1462,2)="15")),"x","")</f>
        <v/>
      </c>
      <c r="Y1462" s="55" t="str">
        <f>IF(AND(OR(LEFT(TH!L1462,2)="15",LEFT(TH!M1462,2)="15"),'152-CT'!$J$8=TH!F1462),"x","")</f>
        <v/>
      </c>
      <c r="Z1462" s="55" t="str">
        <f>IF(AND(OR(LEFT(TH!L1462,2)="15",LEFT(TH!M1462,2)="15"),TK!$E$7=TH!F1462),"x","")</f>
        <v/>
      </c>
      <c r="AA1462" s="55" t="str">
        <f>IF(AND(B1462&lt;=NKC!$N$8,B1462&gt;=NKC!$M$8),"x","")</f>
        <v/>
      </c>
    </row>
    <row r="1463" spans="1:27" ht="15.75" customHeight="1">
      <c r="A1463" s="219" t="str">
        <f>IF(B1463&lt;&gt;"",IF(AND(B1463&gt;=_TM1,B1463&lt;=_TM2,OR(TH!L1463="1111",TH!M1463="1111")),TH!D1463,""),"")</f>
        <v/>
      </c>
      <c r="B1463" s="36" t="str">
        <f t="shared" si="57"/>
        <v/>
      </c>
      <c r="C1463" s="37"/>
      <c r="D1463" s="37"/>
      <c r="E1463" s="37"/>
      <c r="F1463" s="40"/>
      <c r="G1463" s="40"/>
      <c r="H1463" s="45"/>
      <c r="I1463" s="277"/>
      <c r="J1463" s="277"/>
      <c r="K1463" s="38"/>
      <c r="L1463" s="39"/>
      <c r="M1463" s="39"/>
      <c r="N1463" s="55" t="str">
        <f>IF(AND('331-CT'!$E$7=TH!H1463,OR(L1463="331",M1463="331")),"x","")</f>
        <v/>
      </c>
      <c r="O1463" s="55" t="str">
        <f>IF(AND($B1463&gt;='111'!$N$11,$B1463&lt;='111'!$O$11,OR($L1463=$O$7,$M1463=$O$7)),"x","")</f>
        <v/>
      </c>
      <c r="P1463" s="55" t="str">
        <f>IF(AND($L1463=$O$7,$B1463&lt;'111'!$N$11),"x","")</f>
        <v/>
      </c>
      <c r="Q1463" s="55" t="str">
        <f>IF(AND($M1463=$O$7,$B1463&lt;'111'!$N$11),"x","")</f>
        <v/>
      </c>
      <c r="R1463" s="55" t="str">
        <f>IF(ISERROR(FIND('112'!$M$9,G1463,1)),"",IF((AND(FIND('112'!$M$9,G1463,1)&gt;=1,$B1463&gt;='112'!$N$8,$B1463&lt;='112'!$O$8,OR($L1463='112'!$I$6,$M1463='112'!$I$6))),"x",""))</f>
        <v/>
      </c>
      <c r="S1463" s="55" t="str">
        <f>IF(ISERROR(FIND('112'!$M$9,G1463,1)),"",IF((AND(LEFT(G1463,2)=LEFT('112'!$M$9,2),B1463&lt;'112'!$N$8,$L1463='112'!$I$6)),"x",""))</f>
        <v/>
      </c>
      <c r="T1463" s="55" t="str">
        <f>IF(ISERROR(FIND('112'!$M$9,G1463,1)),"",IF((AND(RIGHT(G1463,2)=RIGHT('112'!$M$9,2),B1463&lt;'112'!$N$8,$M1463='112'!$I$6)),"x",""))</f>
        <v/>
      </c>
      <c r="U1463" s="55" t="str">
        <f>IF(AND('3411-CT'!$F$9=H1463,OR(LEFT(L1463,3)=$U$7,LEFT(M1463,3)=$U$7)),"x","")</f>
        <v/>
      </c>
      <c r="V1463" s="55" t="str">
        <f>IF(OR(TH!L1463=TH!$V$7,M1463=TH!$V$7),"x","")</f>
        <v/>
      </c>
      <c r="W1463" s="55" t="str">
        <f>IF(AND(OR(L1463="131",M1463="131"),H1463='131-CT'!$E$7),"x","")</f>
        <v/>
      </c>
      <c r="X1463" s="55" t="str">
        <f>IF(AND(B1463&gt;='IN-NX'!$P$3,B1463&lt;='IN-NX'!$Q$3,'IN-NX'!$D$7=D1463,OR(LEFT(TH!L1463,2)="15",LEFT(TH!M1463,2)="15")),"x","")</f>
        <v/>
      </c>
      <c r="Y1463" s="55" t="str">
        <f>IF(AND(OR(LEFT(TH!L1463,2)="15",LEFT(TH!M1463,2)="15"),'152-CT'!$J$8=TH!F1463),"x","")</f>
        <v/>
      </c>
      <c r="Z1463" s="55" t="str">
        <f>IF(AND(OR(LEFT(TH!L1463,2)="15",LEFT(TH!M1463,2)="15"),TK!$E$7=TH!F1463),"x","")</f>
        <v/>
      </c>
      <c r="AA1463" s="55" t="str">
        <f>IF(AND(B1463&lt;=NKC!$N$8,B1463&gt;=NKC!$M$8),"x","")</f>
        <v/>
      </c>
    </row>
    <row r="1464" spans="1:27" ht="15.75" customHeight="1">
      <c r="A1464" s="219" t="str">
        <f>IF(B1464&lt;&gt;"",IF(AND(B1464&gt;=_TM1,B1464&lt;=_TM2,OR(TH!L1464="1111",TH!M1464="1111")),TH!D1464,""),"")</f>
        <v/>
      </c>
      <c r="B1464" s="36" t="str">
        <f t="shared" si="57"/>
        <v/>
      </c>
      <c r="C1464" s="37"/>
      <c r="D1464" s="37"/>
      <c r="E1464" s="37"/>
      <c r="F1464" s="40"/>
      <c r="G1464" s="40"/>
      <c r="H1464" s="45"/>
      <c r="I1464" s="277"/>
      <c r="J1464" s="277"/>
      <c r="K1464" s="38"/>
      <c r="L1464" s="39"/>
      <c r="M1464" s="39"/>
      <c r="N1464" s="55" t="str">
        <f>IF(AND('331-CT'!$E$7=TH!H1464,OR(L1464="331",M1464="331")),"x","")</f>
        <v/>
      </c>
      <c r="O1464" s="55" t="str">
        <f>IF(AND($B1464&gt;='111'!$N$11,$B1464&lt;='111'!$O$11,OR($L1464=$O$7,$M1464=$O$7)),"x","")</f>
        <v/>
      </c>
      <c r="P1464" s="55" t="str">
        <f>IF(AND($L1464=$O$7,$B1464&lt;'111'!$N$11),"x","")</f>
        <v/>
      </c>
      <c r="Q1464" s="55" t="str">
        <f>IF(AND($M1464=$O$7,$B1464&lt;'111'!$N$11),"x","")</f>
        <v/>
      </c>
      <c r="R1464" s="55" t="str">
        <f>IF(ISERROR(FIND('112'!$M$9,G1464,1)),"",IF((AND(FIND('112'!$M$9,G1464,1)&gt;=1,$B1464&gt;='112'!$N$8,$B1464&lt;='112'!$O$8,OR($L1464='112'!$I$6,$M1464='112'!$I$6))),"x",""))</f>
        <v/>
      </c>
      <c r="S1464" s="55" t="str">
        <f>IF(ISERROR(FIND('112'!$M$9,G1464,1)),"",IF((AND(LEFT(G1464,2)=LEFT('112'!$M$9,2),B1464&lt;'112'!$N$8,$L1464='112'!$I$6)),"x",""))</f>
        <v/>
      </c>
      <c r="T1464" s="55" t="str">
        <f>IF(ISERROR(FIND('112'!$M$9,G1464,1)),"",IF((AND(RIGHT(G1464,2)=RIGHT('112'!$M$9,2),B1464&lt;'112'!$N$8,$M1464='112'!$I$6)),"x",""))</f>
        <v/>
      </c>
      <c r="U1464" s="55" t="str">
        <f>IF(AND('3411-CT'!$F$9=H1464,OR(LEFT(L1464,3)=$U$7,LEFT(M1464,3)=$U$7)),"x","")</f>
        <v/>
      </c>
      <c r="V1464" s="55" t="str">
        <f>IF(OR(TH!L1464=TH!$V$7,M1464=TH!$V$7),"x","")</f>
        <v/>
      </c>
      <c r="W1464" s="55" t="str">
        <f>IF(AND(OR(L1464="131",M1464="131"),H1464='131-CT'!$E$7),"x","")</f>
        <v/>
      </c>
      <c r="X1464" s="55" t="str">
        <f>IF(AND(B1464&gt;='IN-NX'!$P$3,B1464&lt;='IN-NX'!$Q$3,'IN-NX'!$D$7=D1464,OR(LEFT(TH!L1464,2)="15",LEFT(TH!M1464,2)="15")),"x","")</f>
        <v/>
      </c>
      <c r="Y1464" s="55" t="str">
        <f>IF(AND(OR(LEFT(TH!L1464,2)="15",LEFT(TH!M1464,2)="15"),'152-CT'!$J$8=TH!F1464),"x","")</f>
        <v/>
      </c>
      <c r="Z1464" s="55" t="str">
        <f>IF(AND(OR(LEFT(TH!L1464,2)="15",LEFT(TH!M1464,2)="15"),TK!$E$7=TH!F1464),"x","")</f>
        <v/>
      </c>
      <c r="AA1464" s="55" t="str">
        <f>IF(AND(B1464&lt;=NKC!$N$8,B1464&gt;=NKC!$M$8),"x","")</f>
        <v/>
      </c>
    </row>
    <row r="1465" spans="1:27" ht="15.75" customHeight="1">
      <c r="A1465" s="219" t="str">
        <f>IF(B1465&lt;&gt;"",IF(AND(B1465&gt;=_TM1,B1465&lt;=_TM2,OR(TH!L1465="1111",TH!M1465="1111")),TH!D1465,""),"")</f>
        <v/>
      </c>
      <c r="B1465" s="36" t="str">
        <f t="shared" si="57"/>
        <v/>
      </c>
      <c r="C1465" s="37"/>
      <c r="D1465" s="37"/>
      <c r="E1465" s="37"/>
      <c r="F1465" s="40"/>
      <c r="G1465" s="40"/>
      <c r="H1465" s="45"/>
      <c r="I1465" s="277"/>
      <c r="J1465" s="277"/>
      <c r="K1465" s="38"/>
      <c r="L1465" s="39"/>
      <c r="M1465" s="39"/>
      <c r="N1465" s="55" t="str">
        <f>IF(AND('331-CT'!$E$7=TH!H1465,OR(L1465="331",M1465="331")),"x","")</f>
        <v/>
      </c>
      <c r="O1465" s="55" t="str">
        <f>IF(AND($B1465&gt;='111'!$N$11,$B1465&lt;='111'!$O$11,OR($L1465=$O$7,$M1465=$O$7)),"x","")</f>
        <v/>
      </c>
      <c r="P1465" s="55" t="str">
        <f>IF(AND($L1465=$O$7,$B1465&lt;'111'!$N$11),"x","")</f>
        <v/>
      </c>
      <c r="Q1465" s="55" t="str">
        <f>IF(AND($M1465=$O$7,$B1465&lt;'111'!$N$11),"x","")</f>
        <v/>
      </c>
      <c r="R1465" s="55" t="str">
        <f>IF(ISERROR(FIND('112'!$M$9,G1465,1)),"",IF((AND(FIND('112'!$M$9,G1465,1)&gt;=1,$B1465&gt;='112'!$N$8,$B1465&lt;='112'!$O$8,OR($L1465='112'!$I$6,$M1465='112'!$I$6))),"x",""))</f>
        <v/>
      </c>
      <c r="S1465" s="55" t="str">
        <f>IF(ISERROR(FIND('112'!$M$9,G1465,1)),"",IF((AND(LEFT(G1465,2)=LEFT('112'!$M$9,2),B1465&lt;'112'!$N$8,$L1465='112'!$I$6)),"x",""))</f>
        <v/>
      </c>
      <c r="T1465" s="55" t="str">
        <f>IF(ISERROR(FIND('112'!$M$9,G1465,1)),"",IF((AND(RIGHT(G1465,2)=RIGHT('112'!$M$9,2),B1465&lt;'112'!$N$8,$M1465='112'!$I$6)),"x",""))</f>
        <v/>
      </c>
      <c r="U1465" s="55" t="str">
        <f>IF(AND('3411-CT'!$F$9=H1465,OR(LEFT(L1465,3)=$U$7,LEFT(M1465,3)=$U$7)),"x","")</f>
        <v/>
      </c>
      <c r="V1465" s="55" t="str">
        <f>IF(OR(TH!L1465=TH!$V$7,M1465=TH!$V$7),"x","")</f>
        <v/>
      </c>
      <c r="W1465" s="55" t="str">
        <f>IF(AND(OR(L1465="131",M1465="131"),H1465='131-CT'!$E$7),"x","")</f>
        <v/>
      </c>
      <c r="X1465" s="55" t="str">
        <f>IF(AND(B1465&gt;='IN-NX'!$P$3,B1465&lt;='IN-NX'!$Q$3,'IN-NX'!$D$7=D1465,OR(LEFT(TH!L1465,2)="15",LEFT(TH!M1465,2)="15")),"x","")</f>
        <v/>
      </c>
      <c r="Y1465" s="55" t="str">
        <f>IF(AND(OR(LEFT(TH!L1465,2)="15",LEFT(TH!M1465,2)="15"),'152-CT'!$J$8=TH!F1465),"x","")</f>
        <v/>
      </c>
      <c r="Z1465" s="55" t="str">
        <f>IF(AND(OR(LEFT(TH!L1465,2)="15",LEFT(TH!M1465,2)="15"),TK!$E$7=TH!F1465),"x","")</f>
        <v/>
      </c>
      <c r="AA1465" s="55" t="str">
        <f>IF(AND(B1465&lt;=NKC!$N$8,B1465&gt;=NKC!$M$8),"x","")</f>
        <v/>
      </c>
    </row>
    <row r="1466" spans="1:27" ht="15.75" customHeight="1">
      <c r="A1466" s="219" t="str">
        <f>IF(B1466&lt;&gt;"",IF(AND(B1466&gt;=_TM1,B1466&lt;=_TM2,OR(TH!L1466="1111",TH!M1466="1111")),TH!D1466,""),"")</f>
        <v/>
      </c>
      <c r="B1466" s="36" t="str">
        <f t="shared" si="57"/>
        <v/>
      </c>
      <c r="C1466" s="37"/>
      <c r="D1466" s="37"/>
      <c r="E1466" s="37"/>
      <c r="F1466" s="40"/>
      <c r="G1466" s="40"/>
      <c r="H1466" s="45"/>
      <c r="I1466" s="277"/>
      <c r="J1466" s="277"/>
      <c r="K1466" s="38"/>
      <c r="L1466" s="39"/>
      <c r="M1466" s="39"/>
      <c r="N1466" s="55" t="str">
        <f>IF(AND('331-CT'!$E$7=TH!H1466,OR(L1466="331",M1466="331")),"x","")</f>
        <v/>
      </c>
      <c r="O1466" s="55" t="str">
        <f>IF(AND($B1466&gt;='111'!$N$11,$B1466&lt;='111'!$O$11,OR($L1466=$O$7,$M1466=$O$7)),"x","")</f>
        <v/>
      </c>
      <c r="P1466" s="55" t="str">
        <f>IF(AND($L1466=$O$7,$B1466&lt;'111'!$N$11),"x","")</f>
        <v/>
      </c>
      <c r="Q1466" s="55" t="str">
        <f>IF(AND($M1466=$O$7,$B1466&lt;'111'!$N$11),"x","")</f>
        <v/>
      </c>
      <c r="R1466" s="55" t="str">
        <f>IF(ISERROR(FIND('112'!$M$9,G1466,1)),"",IF((AND(FIND('112'!$M$9,G1466,1)&gt;=1,$B1466&gt;='112'!$N$8,$B1466&lt;='112'!$O$8,OR($L1466='112'!$I$6,$M1466='112'!$I$6))),"x",""))</f>
        <v/>
      </c>
      <c r="S1466" s="55" t="str">
        <f>IF(ISERROR(FIND('112'!$M$9,G1466,1)),"",IF((AND(LEFT(G1466,2)=LEFT('112'!$M$9,2),B1466&lt;'112'!$N$8,$L1466='112'!$I$6)),"x",""))</f>
        <v/>
      </c>
      <c r="T1466" s="55" t="str">
        <f>IF(ISERROR(FIND('112'!$M$9,G1466,1)),"",IF((AND(RIGHT(G1466,2)=RIGHT('112'!$M$9,2),B1466&lt;'112'!$N$8,$M1466='112'!$I$6)),"x",""))</f>
        <v/>
      </c>
      <c r="U1466" s="55" t="str">
        <f>IF(AND('3411-CT'!$F$9=H1466,OR(LEFT(L1466,3)=$U$7,LEFT(M1466,3)=$U$7)),"x","")</f>
        <v/>
      </c>
      <c r="V1466" s="55" t="str">
        <f>IF(OR(TH!L1466=TH!$V$7,M1466=TH!$V$7),"x","")</f>
        <v/>
      </c>
      <c r="W1466" s="55" t="str">
        <f>IF(AND(OR(L1466="131",M1466="131"),H1466='131-CT'!$E$7),"x","")</f>
        <v/>
      </c>
      <c r="X1466" s="55" t="str">
        <f>IF(AND(B1466&gt;='IN-NX'!$P$3,B1466&lt;='IN-NX'!$Q$3,'IN-NX'!$D$7=D1466,OR(LEFT(TH!L1466,2)="15",LEFT(TH!M1466,2)="15")),"x","")</f>
        <v/>
      </c>
      <c r="Y1466" s="55" t="str">
        <f>IF(AND(OR(LEFT(TH!L1466,2)="15",LEFT(TH!M1466,2)="15"),'152-CT'!$J$8=TH!F1466),"x","")</f>
        <v/>
      </c>
      <c r="Z1466" s="55" t="str">
        <f>IF(AND(OR(LEFT(TH!L1466,2)="15",LEFT(TH!M1466,2)="15"),TK!$E$7=TH!F1466),"x","")</f>
        <v/>
      </c>
      <c r="AA1466" s="55" t="str">
        <f>IF(AND(B1466&lt;=NKC!$N$8,B1466&gt;=NKC!$M$8),"x","")</f>
        <v/>
      </c>
    </row>
    <row r="1467" spans="1:27" ht="15.75" customHeight="1">
      <c r="A1467" s="219" t="str">
        <f>IF(B1467&lt;&gt;"",IF(AND(B1467&gt;=_TM1,B1467&lt;=_TM2,OR(TH!L1467="1111",TH!M1467="1111")),TH!D1467,""),"")</f>
        <v/>
      </c>
      <c r="B1467" s="36" t="str">
        <f t="shared" si="57"/>
        <v/>
      </c>
      <c r="C1467" s="37"/>
      <c r="D1467" s="37"/>
      <c r="E1467" s="37"/>
      <c r="F1467" s="40"/>
      <c r="G1467" s="40"/>
      <c r="H1467" s="45"/>
      <c r="I1467" s="277"/>
      <c r="J1467" s="277"/>
      <c r="K1467" s="38"/>
      <c r="L1467" s="39"/>
      <c r="M1467" s="39"/>
      <c r="N1467" s="55" t="str">
        <f>IF(AND('331-CT'!$E$7=TH!H1467,OR(L1467="331",M1467="331")),"x","")</f>
        <v/>
      </c>
      <c r="O1467" s="55" t="str">
        <f>IF(AND($B1467&gt;='111'!$N$11,$B1467&lt;='111'!$O$11,OR($L1467=$O$7,$M1467=$O$7)),"x","")</f>
        <v/>
      </c>
      <c r="P1467" s="55" t="str">
        <f>IF(AND($L1467=$O$7,$B1467&lt;'111'!$N$11),"x","")</f>
        <v/>
      </c>
      <c r="Q1467" s="55" t="str">
        <f>IF(AND($M1467=$O$7,$B1467&lt;'111'!$N$11),"x","")</f>
        <v/>
      </c>
      <c r="R1467" s="55" t="str">
        <f>IF(ISERROR(FIND('112'!$M$9,G1467,1)),"",IF((AND(FIND('112'!$M$9,G1467,1)&gt;=1,$B1467&gt;='112'!$N$8,$B1467&lt;='112'!$O$8,OR($L1467='112'!$I$6,$M1467='112'!$I$6))),"x",""))</f>
        <v/>
      </c>
      <c r="S1467" s="55" t="str">
        <f>IF(ISERROR(FIND('112'!$M$9,G1467,1)),"",IF((AND(LEFT(G1467,2)=LEFT('112'!$M$9,2),B1467&lt;'112'!$N$8,$L1467='112'!$I$6)),"x",""))</f>
        <v/>
      </c>
      <c r="T1467" s="55" t="str">
        <f>IF(ISERROR(FIND('112'!$M$9,G1467,1)),"",IF((AND(RIGHT(G1467,2)=RIGHT('112'!$M$9,2),B1467&lt;'112'!$N$8,$M1467='112'!$I$6)),"x",""))</f>
        <v/>
      </c>
      <c r="U1467" s="55" t="str">
        <f>IF(AND('3411-CT'!$F$9=H1467,OR(LEFT(L1467,3)=$U$7,LEFT(M1467,3)=$U$7)),"x","")</f>
        <v/>
      </c>
      <c r="V1467" s="55" t="str">
        <f>IF(OR(TH!L1467=TH!$V$7,M1467=TH!$V$7),"x","")</f>
        <v/>
      </c>
      <c r="W1467" s="55" t="str">
        <f>IF(AND(OR(L1467="131",M1467="131"),H1467='131-CT'!$E$7),"x","")</f>
        <v/>
      </c>
      <c r="X1467" s="55" t="str">
        <f>IF(AND(B1467&gt;='IN-NX'!$P$3,B1467&lt;='IN-NX'!$Q$3,'IN-NX'!$D$7=D1467,OR(LEFT(TH!L1467,2)="15",LEFT(TH!M1467,2)="15")),"x","")</f>
        <v/>
      </c>
      <c r="Y1467" s="55" t="str">
        <f>IF(AND(OR(LEFT(TH!L1467,2)="15",LEFT(TH!M1467,2)="15"),'152-CT'!$J$8=TH!F1467),"x","")</f>
        <v/>
      </c>
      <c r="Z1467" s="55" t="str">
        <f>IF(AND(OR(LEFT(TH!L1467,2)="15",LEFT(TH!M1467,2)="15"),TK!$E$7=TH!F1467),"x","")</f>
        <v/>
      </c>
      <c r="AA1467" s="55" t="str">
        <f>IF(AND(B1467&lt;=NKC!$N$8,B1467&gt;=NKC!$M$8),"x","")</f>
        <v/>
      </c>
    </row>
    <row r="1468" spans="1:27" ht="15.75" customHeight="1">
      <c r="A1468" s="219" t="str">
        <f>IF(B1468&lt;&gt;"",IF(AND(B1468&gt;=_TM1,B1468&lt;=_TM2,OR(TH!L1468="1111",TH!M1468="1111")),TH!D1468,""),"")</f>
        <v/>
      </c>
      <c r="B1468" s="36" t="str">
        <f t="shared" si="57"/>
        <v/>
      </c>
      <c r="C1468" s="37"/>
      <c r="D1468" s="37"/>
      <c r="E1468" s="37"/>
      <c r="F1468" s="40"/>
      <c r="G1468" s="40"/>
      <c r="H1468" s="45"/>
      <c r="I1468" s="277"/>
      <c r="J1468" s="277"/>
      <c r="K1468" s="38"/>
      <c r="L1468" s="39"/>
      <c r="M1468" s="39"/>
      <c r="N1468" s="55" t="str">
        <f>IF(AND('331-CT'!$E$7=TH!H1468,OR(L1468="331",M1468="331")),"x","")</f>
        <v/>
      </c>
      <c r="O1468" s="55" t="str">
        <f>IF(AND($B1468&gt;='111'!$N$11,$B1468&lt;='111'!$O$11,OR($L1468=$O$7,$M1468=$O$7)),"x","")</f>
        <v/>
      </c>
      <c r="P1468" s="55" t="str">
        <f>IF(AND($L1468=$O$7,$B1468&lt;'111'!$N$11),"x","")</f>
        <v/>
      </c>
      <c r="Q1468" s="55" t="str">
        <f>IF(AND($M1468=$O$7,$B1468&lt;'111'!$N$11),"x","")</f>
        <v/>
      </c>
      <c r="R1468" s="55" t="str">
        <f>IF(ISERROR(FIND('112'!$M$9,G1468,1)),"",IF((AND(FIND('112'!$M$9,G1468,1)&gt;=1,$B1468&gt;='112'!$N$8,$B1468&lt;='112'!$O$8,OR($L1468='112'!$I$6,$M1468='112'!$I$6))),"x",""))</f>
        <v/>
      </c>
      <c r="S1468" s="55" t="str">
        <f>IF(ISERROR(FIND('112'!$M$9,G1468,1)),"",IF((AND(LEFT(G1468,2)=LEFT('112'!$M$9,2),B1468&lt;'112'!$N$8,$L1468='112'!$I$6)),"x",""))</f>
        <v/>
      </c>
      <c r="T1468" s="55" t="str">
        <f>IF(ISERROR(FIND('112'!$M$9,G1468,1)),"",IF((AND(RIGHT(G1468,2)=RIGHT('112'!$M$9,2),B1468&lt;'112'!$N$8,$M1468='112'!$I$6)),"x",""))</f>
        <v/>
      </c>
      <c r="U1468" s="55" t="str">
        <f>IF(AND('3411-CT'!$F$9=H1468,OR(LEFT(L1468,3)=$U$7,LEFT(M1468,3)=$U$7)),"x","")</f>
        <v/>
      </c>
      <c r="V1468" s="55" t="str">
        <f>IF(OR(TH!L1468=TH!$V$7,M1468=TH!$V$7),"x","")</f>
        <v/>
      </c>
      <c r="W1468" s="55" t="str">
        <f>IF(AND(OR(L1468="131",M1468="131"),H1468='131-CT'!$E$7),"x","")</f>
        <v/>
      </c>
      <c r="X1468" s="55" t="str">
        <f>IF(AND(B1468&gt;='IN-NX'!$P$3,B1468&lt;='IN-NX'!$Q$3,'IN-NX'!$D$7=D1468,OR(LEFT(TH!L1468,2)="15",LEFT(TH!M1468,2)="15")),"x","")</f>
        <v/>
      </c>
      <c r="Y1468" s="55" t="str">
        <f>IF(AND(OR(LEFT(TH!L1468,2)="15",LEFT(TH!M1468,2)="15"),'152-CT'!$J$8=TH!F1468),"x","")</f>
        <v/>
      </c>
      <c r="Z1468" s="55" t="str">
        <f>IF(AND(OR(LEFT(TH!L1468,2)="15",LEFT(TH!M1468,2)="15"),TK!$E$7=TH!F1468),"x","")</f>
        <v/>
      </c>
      <c r="AA1468" s="55" t="str">
        <f>IF(AND(B1468&lt;=NKC!$N$8,B1468&gt;=NKC!$M$8),"x","")</f>
        <v/>
      </c>
    </row>
    <row r="1469" spans="1:27" s="226" customFormat="1" ht="15.75" customHeight="1">
      <c r="A1469" s="219" t="str">
        <f>IF(B1469&lt;&gt;"",IF(AND(B1469&gt;=_TM1,B1469&lt;=_TM2,OR(TH!L1469="1111",TH!M1469="1111")),TH!D1469,""),"")</f>
        <v/>
      </c>
      <c r="B1469" s="36" t="str">
        <f t="shared" si="57"/>
        <v/>
      </c>
      <c r="C1469" s="37"/>
      <c r="D1469" s="205"/>
      <c r="E1469" s="205"/>
      <c r="F1469" s="206"/>
      <c r="G1469" s="206"/>
      <c r="H1469" s="207"/>
      <c r="I1469" s="277"/>
      <c r="J1469" s="277"/>
      <c r="K1469" s="38"/>
      <c r="L1469" s="208"/>
      <c r="M1469" s="208"/>
      <c r="N1469" s="55" t="str">
        <f>IF(AND('331-CT'!$E$7=TH!H1469,OR(L1469="331",M1469="331")),"x","")</f>
        <v/>
      </c>
      <c r="O1469" s="55" t="str">
        <f>IF(AND($B1469&gt;='111'!$N$11,$B1469&lt;='111'!$O$11,OR($L1469=$O$7,$M1469=$O$7)),"x","")</f>
        <v/>
      </c>
      <c r="P1469" s="55" t="str">
        <f>IF(AND($L1469=$O$7,$B1469&lt;'111'!$N$11),"x","")</f>
        <v/>
      </c>
      <c r="Q1469" s="55" t="str">
        <f>IF(AND($M1469=$O$7,$B1469&lt;'111'!$N$11),"x","")</f>
        <v/>
      </c>
      <c r="R1469" s="55" t="str">
        <f>IF(ISERROR(FIND('112'!$M$9,G1469,1)),"",IF((AND(FIND('112'!$M$9,G1469,1)&gt;=1,$B1469&gt;='112'!$N$8,$B1469&lt;='112'!$O$8,OR($L1469='112'!$I$6,$M1469='112'!$I$6))),"x",""))</f>
        <v/>
      </c>
      <c r="S1469" s="55" t="str">
        <f>IF(ISERROR(FIND('112'!$M$9,G1469,1)),"",IF((AND(LEFT(G1469,2)=LEFT('112'!$M$9,2),B1469&lt;'112'!$N$8,$L1469='112'!$I$6)),"x",""))</f>
        <v/>
      </c>
      <c r="T1469" s="55" t="str">
        <f>IF(ISERROR(FIND('112'!$M$9,G1469,1)),"",IF((AND(RIGHT(G1469,2)=RIGHT('112'!$M$9,2),B1469&lt;'112'!$N$8,$M1469='112'!$I$6)),"x",""))</f>
        <v/>
      </c>
      <c r="U1469" s="55" t="str">
        <f>IF(AND('3411-CT'!$F$9=H1469,OR(LEFT(L1469,3)=$U$7,LEFT(M1469,3)=$U$7)),"x","")</f>
        <v/>
      </c>
      <c r="V1469" s="55" t="str">
        <f>IF(OR(TH!L1469=TH!$V$7,M1469=TH!$V$7),"x","")</f>
        <v/>
      </c>
      <c r="W1469" s="55" t="str">
        <f>IF(AND(OR(L1469="131",M1469="131"),H1469='131-CT'!$E$7),"x","")</f>
        <v/>
      </c>
      <c r="X1469" s="55" t="str">
        <f>IF(AND(B1469&gt;='IN-NX'!$P$3,B1469&lt;='IN-NX'!$Q$3,'IN-NX'!$D$7=D1469,OR(LEFT(TH!L1469,2)="15",LEFT(TH!M1469,2)="15")),"x","")</f>
        <v/>
      </c>
      <c r="Y1469" s="55" t="str">
        <f>IF(AND(OR(LEFT(TH!L1469,2)="15",LEFT(TH!M1469,2)="15"),'152-CT'!$J$8=TH!F1469),"x","")</f>
        <v/>
      </c>
      <c r="Z1469" s="55" t="str">
        <f>IF(AND(OR(LEFT(TH!L1469,2)="15",LEFT(TH!M1469,2)="15"),TK!$E$7=TH!F1469),"x","")</f>
        <v/>
      </c>
      <c r="AA1469" s="55" t="str">
        <f>IF(AND(B1469&lt;=NKC!$N$8,B1469&gt;=NKC!$M$8),"x","")</f>
        <v/>
      </c>
    </row>
    <row r="1470" spans="1:27" s="226" customFormat="1" ht="15.75" customHeight="1">
      <c r="A1470" s="219" t="str">
        <f>IF(B1470&lt;&gt;"",IF(AND(B1470&gt;=_TM1,B1470&lt;=_TM2,OR(TH!L1470="1111",TH!M1470="1111")),TH!D1470,""),"")</f>
        <v/>
      </c>
      <c r="B1470" s="36" t="str">
        <f t="shared" si="57"/>
        <v/>
      </c>
      <c r="C1470" s="37"/>
      <c r="D1470" s="205"/>
      <c r="E1470" s="205"/>
      <c r="F1470" s="206"/>
      <c r="G1470" s="206"/>
      <c r="H1470" s="207"/>
      <c r="I1470" s="277"/>
      <c r="J1470" s="277"/>
      <c r="K1470" s="38"/>
      <c r="L1470" s="208"/>
      <c r="M1470" s="208"/>
      <c r="N1470" s="55" t="str">
        <f>IF(AND('331-CT'!$E$7=TH!H1470,OR(L1470="331",M1470="331")),"x","")</f>
        <v/>
      </c>
      <c r="O1470" s="55" t="str">
        <f>IF(AND($B1470&gt;='111'!$N$11,$B1470&lt;='111'!$O$11,OR($L1470=$O$7,$M1470=$O$7)),"x","")</f>
        <v/>
      </c>
      <c r="P1470" s="55" t="str">
        <f>IF(AND($L1470=$O$7,$B1470&lt;'111'!$N$11),"x","")</f>
        <v/>
      </c>
      <c r="Q1470" s="55" t="str">
        <f>IF(AND($M1470=$O$7,$B1470&lt;'111'!$N$11),"x","")</f>
        <v/>
      </c>
      <c r="R1470" s="55" t="str">
        <f>IF(ISERROR(FIND('112'!$M$9,G1470,1)),"",IF((AND(FIND('112'!$M$9,G1470,1)&gt;=1,$B1470&gt;='112'!$N$8,$B1470&lt;='112'!$O$8,OR($L1470='112'!$I$6,$M1470='112'!$I$6))),"x",""))</f>
        <v/>
      </c>
      <c r="S1470" s="55" t="str">
        <f>IF(ISERROR(FIND('112'!$M$9,G1470,1)),"",IF((AND(LEFT(G1470,2)=LEFT('112'!$M$9,2),B1470&lt;'112'!$N$8,$L1470='112'!$I$6)),"x",""))</f>
        <v/>
      </c>
      <c r="T1470" s="55" t="str">
        <f>IF(ISERROR(FIND('112'!$M$9,G1470,1)),"",IF((AND(RIGHT(G1470,2)=RIGHT('112'!$M$9,2),B1470&lt;'112'!$N$8,$M1470='112'!$I$6)),"x",""))</f>
        <v/>
      </c>
      <c r="U1470" s="55" t="str">
        <f>IF(AND('3411-CT'!$F$9=H1470,OR(LEFT(L1470,3)=$U$7,LEFT(M1470,3)=$U$7)),"x","")</f>
        <v/>
      </c>
      <c r="V1470" s="55" t="str">
        <f>IF(OR(TH!L1470=TH!$V$7,M1470=TH!$V$7),"x","")</f>
        <v/>
      </c>
      <c r="W1470" s="55" t="str">
        <f>IF(AND(OR(L1470="131",M1470="131"),H1470='131-CT'!$E$7),"x","")</f>
        <v/>
      </c>
      <c r="X1470" s="55" t="str">
        <f>IF(AND(B1470&gt;='IN-NX'!$P$3,B1470&lt;='IN-NX'!$Q$3,'IN-NX'!$D$7=D1470,OR(LEFT(TH!L1470,2)="15",LEFT(TH!M1470,2)="15")),"x","")</f>
        <v/>
      </c>
      <c r="Y1470" s="55" t="str">
        <f>IF(AND(OR(LEFT(TH!L1470,2)="15",LEFT(TH!M1470,2)="15"),'152-CT'!$J$8=TH!F1470),"x","")</f>
        <v/>
      </c>
      <c r="Z1470" s="55" t="str">
        <f>IF(AND(OR(LEFT(TH!L1470,2)="15",LEFT(TH!M1470,2)="15"),TK!$E$7=TH!F1470),"x","")</f>
        <v/>
      </c>
      <c r="AA1470" s="55" t="str">
        <f>IF(AND(B1470&lt;=NKC!$N$8,B1470&gt;=NKC!$M$8),"x","")</f>
        <v/>
      </c>
    </row>
    <row r="1471" spans="1:27" s="226" customFormat="1" ht="15.75" customHeight="1">
      <c r="A1471" s="219" t="str">
        <f>IF(B1471&lt;&gt;"",IF(AND(B1471&gt;=_TM1,B1471&lt;=_TM2,OR(TH!L1471="1111",TH!M1471="1111")),TH!D1471,""),"")</f>
        <v/>
      </c>
      <c r="B1471" s="36" t="str">
        <f t="shared" si="57"/>
        <v/>
      </c>
      <c r="C1471" s="37"/>
      <c r="D1471" s="205"/>
      <c r="E1471" s="205"/>
      <c r="F1471" s="206"/>
      <c r="G1471" s="206"/>
      <c r="H1471" s="207"/>
      <c r="I1471" s="277"/>
      <c r="J1471" s="277"/>
      <c r="K1471" s="38"/>
      <c r="L1471" s="208"/>
      <c r="M1471" s="208"/>
      <c r="N1471" s="55" t="str">
        <f>IF(AND('331-CT'!$E$7=TH!H1471,OR(L1471="331",M1471="331")),"x","")</f>
        <v/>
      </c>
      <c r="O1471" s="55" t="str">
        <f>IF(AND($B1471&gt;='111'!$N$11,$B1471&lt;='111'!$O$11,OR($L1471=$O$7,$M1471=$O$7)),"x","")</f>
        <v/>
      </c>
      <c r="P1471" s="55" t="str">
        <f>IF(AND($L1471=$O$7,$B1471&lt;'111'!$N$11),"x","")</f>
        <v/>
      </c>
      <c r="Q1471" s="55" t="str">
        <f>IF(AND($M1471=$O$7,$B1471&lt;'111'!$N$11),"x","")</f>
        <v/>
      </c>
      <c r="R1471" s="55" t="str">
        <f>IF(ISERROR(FIND('112'!$M$9,G1471,1)),"",IF((AND(FIND('112'!$M$9,G1471,1)&gt;=1,$B1471&gt;='112'!$N$8,$B1471&lt;='112'!$O$8,OR($L1471='112'!$I$6,$M1471='112'!$I$6))),"x",""))</f>
        <v/>
      </c>
      <c r="S1471" s="55" t="str">
        <f>IF(ISERROR(FIND('112'!$M$9,G1471,1)),"",IF((AND(LEFT(G1471,2)=LEFT('112'!$M$9,2),B1471&lt;'112'!$N$8,$L1471='112'!$I$6)),"x",""))</f>
        <v/>
      </c>
      <c r="T1471" s="55" t="str">
        <f>IF(ISERROR(FIND('112'!$M$9,G1471,1)),"",IF((AND(RIGHT(G1471,2)=RIGHT('112'!$M$9,2),B1471&lt;'112'!$N$8,$M1471='112'!$I$6)),"x",""))</f>
        <v/>
      </c>
      <c r="U1471" s="55" t="str">
        <f>IF(AND('3411-CT'!$F$9=H1471,OR(LEFT(L1471,3)=$U$7,LEFT(M1471,3)=$U$7)),"x","")</f>
        <v/>
      </c>
      <c r="V1471" s="55" t="str">
        <f>IF(OR(TH!L1471=TH!$V$7,M1471=TH!$V$7),"x","")</f>
        <v/>
      </c>
      <c r="W1471" s="55" t="str">
        <f>IF(AND(OR(L1471="131",M1471="131"),H1471='131-CT'!$E$7),"x","")</f>
        <v/>
      </c>
      <c r="X1471" s="55" t="str">
        <f>IF(AND(B1471&gt;='IN-NX'!$P$3,B1471&lt;='IN-NX'!$Q$3,'IN-NX'!$D$7=D1471,OR(LEFT(TH!L1471,2)="15",LEFT(TH!M1471,2)="15")),"x","")</f>
        <v/>
      </c>
      <c r="Y1471" s="55" t="str">
        <f>IF(AND(OR(LEFT(TH!L1471,2)="15",LEFT(TH!M1471,2)="15"),'152-CT'!$J$8=TH!F1471),"x","")</f>
        <v/>
      </c>
      <c r="Z1471" s="55" t="str">
        <f>IF(AND(OR(LEFT(TH!L1471,2)="15",LEFT(TH!M1471,2)="15"),TK!$E$7=TH!F1471),"x","")</f>
        <v/>
      </c>
      <c r="AA1471" s="55" t="str">
        <f>IF(AND(B1471&lt;=NKC!$N$8,B1471&gt;=NKC!$M$8),"x","")</f>
        <v/>
      </c>
    </row>
    <row r="1472" spans="1:27" s="226" customFormat="1" ht="15.75" customHeight="1">
      <c r="A1472" s="219" t="str">
        <f>IF(B1472&lt;&gt;"",IF(AND(B1472&gt;=_TM1,B1472&lt;=_TM2,OR(TH!L1472="1111",TH!M1472="1111")),TH!D1472,""),"")</f>
        <v/>
      </c>
      <c r="B1472" s="36" t="str">
        <f t="shared" si="57"/>
        <v/>
      </c>
      <c r="C1472" s="37"/>
      <c r="D1472" s="37"/>
      <c r="E1472" s="37"/>
      <c r="F1472" s="40"/>
      <c r="G1472" s="580"/>
      <c r="H1472" s="225"/>
      <c r="I1472" s="278"/>
      <c r="J1472" s="278"/>
      <c r="K1472" s="215"/>
      <c r="L1472" s="208"/>
      <c r="M1472" s="39"/>
      <c r="N1472" s="55" t="str">
        <f>IF(AND('331-CT'!$E$7=TH!H1472,OR(L1472="331",M1472="331")),"x","")</f>
        <v/>
      </c>
      <c r="O1472" s="55" t="str">
        <f>IF(AND($B1472&gt;='111'!$N$11,$B1472&lt;='111'!$O$11,OR($L1472=$O$7,$M1472=$O$7)),"x","")</f>
        <v/>
      </c>
      <c r="P1472" s="55" t="str">
        <f>IF(AND($L1472=$O$7,$B1472&lt;'111'!$N$11),"x","")</f>
        <v/>
      </c>
      <c r="Q1472" s="55" t="str">
        <f>IF(AND($M1472=$O$7,$B1472&lt;'111'!$N$11),"x","")</f>
        <v/>
      </c>
      <c r="R1472" s="55" t="str">
        <f>IF(ISERROR(FIND('112'!$M$9,G1472,1)),"",IF((AND(FIND('112'!$M$9,G1472,1)&gt;=1,$B1472&gt;='112'!$N$8,$B1472&lt;='112'!$O$8,OR($L1472='112'!$I$6,$M1472='112'!$I$6))),"x",""))</f>
        <v/>
      </c>
      <c r="S1472" s="55" t="str">
        <f>IF(ISERROR(FIND('112'!$M$9,G1472,1)),"",IF((AND(LEFT(G1472,2)=LEFT('112'!$M$9,2),B1472&lt;'112'!$N$8,$L1472='112'!$I$6)),"x",""))</f>
        <v/>
      </c>
      <c r="T1472" s="55" t="str">
        <f>IF(ISERROR(FIND('112'!$M$9,G1472,1)),"",IF((AND(RIGHT(G1472,2)=RIGHT('112'!$M$9,2),B1472&lt;'112'!$N$8,$M1472='112'!$I$6)),"x",""))</f>
        <v/>
      </c>
      <c r="U1472" s="55" t="str">
        <f>IF(AND('3411-CT'!$F$9=H1472,OR(LEFT(L1472,3)=$U$7,LEFT(M1472,3)=$U$7)),"x","")</f>
        <v/>
      </c>
      <c r="V1472" s="55" t="str">
        <f>IF(OR(TH!L1472=TH!$V$7,M1472=TH!$V$7),"x","")</f>
        <v/>
      </c>
      <c r="W1472" s="55" t="str">
        <f>IF(AND(OR(L1472="131",M1472="131"),H1472='131-CT'!$E$7),"x","")</f>
        <v/>
      </c>
      <c r="X1472" s="55" t="str">
        <f>IF(AND(B1472&gt;='IN-NX'!$P$3,B1472&lt;='IN-NX'!$Q$3,'IN-NX'!$D$7=D1472,OR(LEFT(TH!L1472,2)="15",LEFT(TH!M1472,2)="15")),"x","")</f>
        <v/>
      </c>
      <c r="Y1472" s="55" t="str">
        <f>IF(AND(OR(LEFT(TH!L1472,2)="15",LEFT(TH!M1472,2)="15"),'152-CT'!$J$8=TH!F1472),"x","")</f>
        <v/>
      </c>
      <c r="Z1472" s="55" t="str">
        <f>IF(AND(OR(LEFT(TH!L1472,2)="15",LEFT(TH!M1472,2)="15"),TK!$E$7=TH!F1472),"x","")</f>
        <v/>
      </c>
      <c r="AA1472" s="55" t="str">
        <f>IF(AND(B1472&lt;=NKC!$N$8,B1472&gt;=NKC!$M$8),"x","")</f>
        <v/>
      </c>
    </row>
    <row r="1473" spans="1:27" s="226" customFormat="1" ht="15.75" customHeight="1">
      <c r="A1473" s="219" t="str">
        <f>IF(B1473&lt;&gt;"",IF(AND(B1473&gt;=_TM1,B1473&lt;=_TM2,OR(TH!L1473="1111",TH!M1473="1111")),TH!D1473,""),"")</f>
        <v/>
      </c>
      <c r="B1473" s="36" t="str">
        <f t="shared" si="57"/>
        <v/>
      </c>
      <c r="C1473" s="37"/>
      <c r="D1473" s="37"/>
      <c r="E1473" s="37"/>
      <c r="F1473" s="40"/>
      <c r="G1473" s="580"/>
      <c r="H1473" s="225"/>
      <c r="I1473" s="278"/>
      <c r="J1473" s="278"/>
      <c r="K1473" s="38"/>
      <c r="L1473" s="208"/>
      <c r="M1473" s="39"/>
      <c r="N1473" s="55" t="str">
        <f>IF(AND('331-CT'!$E$7=TH!H1473,OR(L1473="331",M1473="331")),"x","")</f>
        <v/>
      </c>
      <c r="O1473" s="55" t="str">
        <f>IF(AND($B1473&gt;='111'!$N$11,$B1473&lt;='111'!$O$11,OR($L1473=$O$7,$M1473=$O$7)),"x","")</f>
        <v/>
      </c>
      <c r="P1473" s="55" t="str">
        <f>IF(AND($L1473=$O$7,$B1473&lt;'111'!$N$11),"x","")</f>
        <v/>
      </c>
      <c r="Q1473" s="55" t="str">
        <f>IF(AND($M1473=$O$7,$B1473&lt;'111'!$N$11),"x","")</f>
        <v/>
      </c>
      <c r="R1473" s="55" t="str">
        <f>IF(ISERROR(FIND('112'!$M$9,G1473,1)),"",IF((AND(FIND('112'!$M$9,G1473,1)&gt;=1,$B1473&gt;='112'!$N$8,$B1473&lt;='112'!$O$8,OR($L1473='112'!$I$6,$M1473='112'!$I$6))),"x",""))</f>
        <v/>
      </c>
      <c r="S1473" s="55" t="str">
        <f>IF(ISERROR(FIND('112'!$M$9,G1473,1)),"",IF((AND(LEFT(G1473,2)=LEFT('112'!$M$9,2),B1473&lt;'112'!$N$8,$L1473='112'!$I$6)),"x",""))</f>
        <v/>
      </c>
      <c r="T1473" s="55" t="str">
        <f>IF(ISERROR(FIND('112'!$M$9,G1473,1)),"",IF((AND(RIGHT(G1473,2)=RIGHT('112'!$M$9,2),B1473&lt;'112'!$N$8,$M1473='112'!$I$6)),"x",""))</f>
        <v/>
      </c>
      <c r="U1473" s="55" t="str">
        <f>IF(AND('3411-CT'!$F$9=H1473,OR(LEFT(L1473,3)=$U$7,LEFT(M1473,3)=$U$7)),"x","")</f>
        <v/>
      </c>
      <c r="V1473" s="55" t="str">
        <f>IF(OR(TH!L1473=TH!$V$7,M1473=TH!$V$7),"x","")</f>
        <v/>
      </c>
      <c r="W1473" s="55" t="str">
        <f>IF(AND(OR(L1473="131",M1473="131"),H1473='131-CT'!$E$7),"x","")</f>
        <v/>
      </c>
      <c r="X1473" s="55" t="str">
        <f>IF(AND(B1473&gt;='IN-NX'!$P$3,B1473&lt;='IN-NX'!$Q$3,'IN-NX'!$D$7=D1473,OR(LEFT(TH!L1473,2)="15",LEFT(TH!M1473,2)="15")),"x","")</f>
        <v/>
      </c>
      <c r="Y1473" s="55" t="str">
        <f>IF(AND(OR(LEFT(TH!L1473,2)="15",LEFT(TH!M1473,2)="15"),'152-CT'!$J$8=TH!F1473),"x","")</f>
        <v/>
      </c>
      <c r="Z1473" s="55" t="str">
        <f>IF(AND(OR(LEFT(TH!L1473,2)="15",LEFT(TH!M1473,2)="15"),TK!$E$7=TH!F1473),"x","")</f>
        <v/>
      </c>
      <c r="AA1473" s="55" t="str">
        <f>IF(AND(B1473&lt;=NKC!$N$8,B1473&gt;=NKC!$M$8),"x","")</f>
        <v/>
      </c>
    </row>
    <row r="1474" spans="1:27" s="226" customFormat="1" ht="15.75" customHeight="1">
      <c r="A1474" s="219" t="str">
        <f>IF(B1474&lt;&gt;"",IF(AND(B1474&gt;=_TM1,B1474&lt;=_TM2,OR(TH!L1474="1111",TH!M1474="1111")),TH!D1474,""),"")</f>
        <v/>
      </c>
      <c r="B1474" s="36" t="str">
        <f t="shared" si="57"/>
        <v/>
      </c>
      <c r="C1474" s="37"/>
      <c r="D1474" s="37"/>
      <c r="E1474" s="37"/>
      <c r="F1474" s="40"/>
      <c r="G1474" s="580"/>
      <c r="H1474" s="45"/>
      <c r="I1474" s="277"/>
      <c r="J1474" s="277"/>
      <c r="K1474" s="38"/>
      <c r="L1474" s="39"/>
      <c r="M1474" s="39"/>
      <c r="N1474" s="55" t="str">
        <f>IF(AND('331-CT'!$E$7=TH!H1474,OR(L1474="331",M1474="331")),"x","")</f>
        <v/>
      </c>
      <c r="O1474" s="55" t="str">
        <f>IF(AND($B1474&gt;='111'!$N$11,$B1474&lt;='111'!$O$11,OR($L1474=$O$7,$M1474=$O$7)),"x","")</f>
        <v/>
      </c>
      <c r="P1474" s="55" t="str">
        <f>IF(AND($L1474=$O$7,$B1474&lt;'111'!$N$11),"x","")</f>
        <v/>
      </c>
      <c r="Q1474" s="55" t="str">
        <f>IF(AND($M1474=$O$7,$B1474&lt;'111'!$N$11),"x","")</f>
        <v/>
      </c>
      <c r="R1474" s="55" t="str">
        <f>IF(ISERROR(FIND('112'!$M$9,G1474,1)),"",IF((AND(FIND('112'!$M$9,G1474,1)&gt;=1,$B1474&gt;='112'!$N$8,$B1474&lt;='112'!$O$8,OR($L1474='112'!$I$6,$M1474='112'!$I$6))),"x",""))</f>
        <v/>
      </c>
      <c r="S1474" s="55" t="str">
        <f>IF(ISERROR(FIND('112'!$M$9,G1474,1)),"",IF((AND(LEFT(G1474,2)=LEFT('112'!$M$9,2),B1474&lt;'112'!$N$8,$L1474='112'!$I$6)),"x",""))</f>
        <v/>
      </c>
      <c r="T1474" s="55" t="str">
        <f>IF(ISERROR(FIND('112'!$M$9,G1474,1)),"",IF((AND(RIGHT(G1474,2)=RIGHT('112'!$M$9,2),B1474&lt;'112'!$N$8,$M1474='112'!$I$6)),"x",""))</f>
        <v/>
      </c>
      <c r="U1474" s="55" t="str">
        <f>IF(AND('3411-CT'!$F$9=H1474,OR(LEFT(L1474,3)=$U$7,LEFT(M1474,3)=$U$7)),"x","")</f>
        <v/>
      </c>
      <c r="V1474" s="55" t="str">
        <f>IF(OR(TH!L1474=TH!$V$7,M1474=TH!$V$7),"x","")</f>
        <v/>
      </c>
      <c r="W1474" s="55" t="str">
        <f>IF(AND(OR(L1474="131",M1474="131"),H1474='131-CT'!$E$7),"x","")</f>
        <v/>
      </c>
      <c r="X1474" s="55" t="str">
        <f>IF(AND(B1474&gt;='IN-NX'!$P$3,B1474&lt;='IN-NX'!$Q$3,'IN-NX'!$D$7=D1474,OR(LEFT(TH!L1474,2)="15",LEFT(TH!M1474,2)="15")),"x","")</f>
        <v/>
      </c>
      <c r="Y1474" s="55" t="str">
        <f>IF(AND(OR(LEFT(TH!L1474,2)="15",LEFT(TH!M1474,2)="15"),'152-CT'!$J$8=TH!F1474),"x","")</f>
        <v/>
      </c>
      <c r="Z1474" s="55" t="str">
        <f>IF(AND(OR(LEFT(TH!L1474,2)="15",LEFT(TH!M1474,2)="15"),TK!$E$7=TH!F1474),"x","")</f>
        <v/>
      </c>
      <c r="AA1474" s="55" t="str">
        <f>IF(AND(B1474&lt;=NKC!$N$8,B1474&gt;=NKC!$M$8),"x","")</f>
        <v/>
      </c>
    </row>
    <row r="1475" spans="1:27" s="226" customFormat="1" ht="15.75" customHeight="1">
      <c r="A1475" s="219" t="str">
        <f>IF(B1475&lt;&gt;"",IF(AND(B1475&gt;=_TM1,B1475&lt;=_TM2,OR(TH!L1475="1111",TH!M1475="1111")),TH!D1475,""),"")</f>
        <v/>
      </c>
      <c r="B1475" s="36" t="str">
        <f t="shared" si="57"/>
        <v/>
      </c>
      <c r="C1475" s="37"/>
      <c r="D1475" s="37"/>
      <c r="E1475" s="37"/>
      <c r="F1475" s="40"/>
      <c r="G1475" s="580"/>
      <c r="H1475" s="45"/>
      <c r="I1475" s="277"/>
      <c r="J1475" s="277"/>
      <c r="K1475" s="38"/>
      <c r="L1475" s="39"/>
      <c r="M1475" s="39"/>
      <c r="N1475" s="55" t="str">
        <f>IF(AND('331-CT'!$E$7=TH!H1475,OR(L1475="331",M1475="331")),"x","")</f>
        <v/>
      </c>
      <c r="O1475" s="55" t="str">
        <f>IF(AND($B1475&gt;='111'!$N$11,$B1475&lt;='111'!$O$11,OR($L1475=$O$7,$M1475=$O$7)),"x","")</f>
        <v/>
      </c>
      <c r="P1475" s="55" t="str">
        <f>IF(AND($L1475=$O$7,$B1475&lt;'111'!$N$11),"x","")</f>
        <v/>
      </c>
      <c r="Q1475" s="55" t="str">
        <f>IF(AND($M1475=$O$7,$B1475&lt;'111'!$N$11),"x","")</f>
        <v/>
      </c>
      <c r="R1475" s="55" t="str">
        <f>IF(ISERROR(FIND('112'!$M$9,G1475,1)),"",IF((AND(FIND('112'!$M$9,G1475,1)&gt;=1,$B1475&gt;='112'!$N$8,$B1475&lt;='112'!$O$8,OR($L1475='112'!$I$6,$M1475='112'!$I$6))),"x",""))</f>
        <v/>
      </c>
      <c r="S1475" s="55" t="str">
        <f>IF(ISERROR(FIND('112'!$M$9,G1475,1)),"",IF((AND(LEFT(G1475,2)=LEFT('112'!$M$9,2),B1475&lt;'112'!$N$8,$L1475='112'!$I$6)),"x",""))</f>
        <v/>
      </c>
      <c r="T1475" s="55" t="str">
        <f>IF(ISERROR(FIND('112'!$M$9,G1475,1)),"",IF((AND(RIGHT(G1475,2)=RIGHT('112'!$M$9,2),B1475&lt;'112'!$N$8,$M1475='112'!$I$6)),"x",""))</f>
        <v/>
      </c>
      <c r="U1475" s="55" t="str">
        <f>IF(AND('3411-CT'!$F$9=H1475,OR(LEFT(L1475,3)=$U$7,LEFT(M1475,3)=$U$7)),"x","")</f>
        <v/>
      </c>
      <c r="V1475" s="55" t="str">
        <f>IF(OR(TH!L1475=TH!$V$7,M1475=TH!$V$7),"x","")</f>
        <v/>
      </c>
      <c r="W1475" s="55" t="str">
        <f>IF(AND(OR(L1475="131",M1475="131"),H1475='131-CT'!$E$7),"x","")</f>
        <v/>
      </c>
      <c r="X1475" s="55" t="str">
        <f>IF(AND(B1475&gt;='IN-NX'!$P$3,B1475&lt;='IN-NX'!$Q$3,'IN-NX'!$D$7=D1475,OR(LEFT(TH!L1475,2)="15",LEFT(TH!M1475,2)="15")),"x","")</f>
        <v/>
      </c>
      <c r="Y1475" s="55" t="str">
        <f>IF(AND(OR(LEFT(TH!L1475,2)="15",LEFT(TH!M1475,2)="15"),'152-CT'!$J$8=TH!F1475),"x","")</f>
        <v/>
      </c>
      <c r="Z1475" s="55" t="str">
        <f>IF(AND(OR(LEFT(TH!L1475,2)="15",LEFT(TH!M1475,2)="15"),TK!$E$7=TH!F1475),"x","")</f>
        <v/>
      </c>
      <c r="AA1475" s="55" t="str">
        <f>IF(AND(B1475&lt;=NKC!$N$8,B1475&gt;=NKC!$M$8),"x","")</f>
        <v/>
      </c>
    </row>
    <row r="1476" spans="1:27" s="226" customFormat="1" ht="15.75" customHeight="1">
      <c r="A1476" s="219" t="str">
        <f>IF(B1476&lt;&gt;"",IF(AND(B1476&gt;=_TM1,B1476&lt;=_TM2,OR(TH!L1476="1111",TH!M1476="1111")),TH!D1476,""),"")</f>
        <v/>
      </c>
      <c r="B1476" s="36" t="str">
        <f t="shared" si="57"/>
        <v/>
      </c>
      <c r="C1476" s="37"/>
      <c r="D1476" s="37"/>
      <c r="E1476" s="37"/>
      <c r="F1476" s="40"/>
      <c r="G1476" s="580"/>
      <c r="H1476" s="45"/>
      <c r="I1476" s="277"/>
      <c r="J1476" s="277"/>
      <c r="K1476" s="38"/>
      <c r="L1476" s="39"/>
      <c r="M1476" s="39"/>
      <c r="N1476" s="55" t="str">
        <f>IF(AND('331-CT'!$E$7=TH!H1476,OR(L1476="331",M1476="331")),"x","")</f>
        <v/>
      </c>
      <c r="O1476" s="55" t="str">
        <f>IF(AND($B1476&gt;='111'!$N$11,$B1476&lt;='111'!$O$11,OR($L1476=$O$7,$M1476=$O$7)),"x","")</f>
        <v/>
      </c>
      <c r="P1476" s="55" t="str">
        <f>IF(AND($L1476=$O$7,$B1476&lt;'111'!$N$11),"x","")</f>
        <v/>
      </c>
      <c r="Q1476" s="55" t="str">
        <f>IF(AND($M1476=$O$7,$B1476&lt;'111'!$N$11),"x","")</f>
        <v/>
      </c>
      <c r="R1476" s="55" t="str">
        <f>IF(ISERROR(FIND('112'!$M$9,G1476,1)),"",IF((AND(FIND('112'!$M$9,G1476,1)&gt;=1,$B1476&gt;='112'!$N$8,$B1476&lt;='112'!$O$8,OR($L1476='112'!$I$6,$M1476='112'!$I$6))),"x",""))</f>
        <v/>
      </c>
      <c r="S1476" s="55" t="str">
        <f>IF(ISERROR(FIND('112'!$M$9,G1476,1)),"",IF((AND(LEFT(G1476,2)=LEFT('112'!$M$9,2),B1476&lt;'112'!$N$8,$L1476='112'!$I$6)),"x",""))</f>
        <v/>
      </c>
      <c r="T1476" s="55" t="str">
        <f>IF(ISERROR(FIND('112'!$M$9,G1476,1)),"",IF((AND(RIGHT(G1476,2)=RIGHT('112'!$M$9,2),B1476&lt;'112'!$N$8,$M1476='112'!$I$6)),"x",""))</f>
        <v/>
      </c>
      <c r="U1476" s="55" t="str">
        <f>IF(AND('3411-CT'!$F$9=H1476,OR(LEFT(L1476,3)=$U$7,LEFT(M1476,3)=$U$7)),"x","")</f>
        <v/>
      </c>
      <c r="V1476" s="55" t="str">
        <f>IF(OR(TH!L1476=TH!$V$7,M1476=TH!$V$7),"x","")</f>
        <v/>
      </c>
      <c r="W1476" s="55" t="str">
        <f>IF(AND(OR(L1476="131",M1476="131"),H1476='131-CT'!$E$7),"x","")</f>
        <v/>
      </c>
      <c r="X1476" s="55" t="str">
        <f>IF(AND(B1476&gt;='IN-NX'!$P$3,B1476&lt;='IN-NX'!$Q$3,'IN-NX'!$D$7=D1476,OR(LEFT(TH!L1476,2)="15",LEFT(TH!M1476,2)="15")),"x","")</f>
        <v/>
      </c>
      <c r="Y1476" s="55" t="str">
        <f>IF(AND(OR(LEFT(TH!L1476,2)="15",LEFT(TH!M1476,2)="15"),'152-CT'!$J$8=TH!F1476),"x","")</f>
        <v/>
      </c>
      <c r="Z1476" s="55" t="str">
        <f>IF(AND(OR(LEFT(TH!L1476,2)="15",LEFT(TH!M1476,2)="15"),TK!$E$7=TH!F1476),"x","")</f>
        <v/>
      </c>
      <c r="AA1476" s="55" t="str">
        <f>IF(AND(B1476&lt;=NKC!$N$8,B1476&gt;=NKC!$M$8),"x","")</f>
        <v/>
      </c>
    </row>
    <row r="1477" spans="1:27" s="226" customFormat="1" ht="15.75" customHeight="1">
      <c r="A1477" s="219" t="str">
        <f>IF(B1477&lt;&gt;"",IF(AND(B1477&gt;=_TM1,B1477&lt;=_TM2,OR(TH!L1477="1111",TH!M1477="1111")),TH!D1477,""),"")</f>
        <v/>
      </c>
      <c r="B1477" s="36" t="str">
        <f t="shared" si="57"/>
        <v/>
      </c>
      <c r="C1477" s="37"/>
      <c r="D1477" s="37"/>
      <c r="E1477" s="205"/>
      <c r="F1477" s="206"/>
      <c r="G1477" s="40"/>
      <c r="H1477" s="45"/>
      <c r="I1477" s="277"/>
      <c r="J1477" s="277"/>
      <c r="K1477" s="38"/>
      <c r="L1477" s="208"/>
      <c r="M1477" s="208"/>
      <c r="N1477" s="55" t="str">
        <f>IF(AND('331-CT'!$E$7=TH!H1477,OR(L1477="331",M1477="331")),"x","")</f>
        <v/>
      </c>
      <c r="O1477" s="55" t="str">
        <f>IF(AND($B1477&gt;='111'!$N$11,$B1477&lt;='111'!$O$11,OR($L1477=$O$7,$M1477=$O$7)),"x","")</f>
        <v/>
      </c>
      <c r="P1477" s="55" t="str">
        <f>IF(AND($L1477=$O$7,$B1477&lt;'111'!$N$11),"x","")</f>
        <v/>
      </c>
      <c r="Q1477" s="55" t="str">
        <f>IF(AND($M1477=$O$7,$B1477&lt;'111'!$N$11),"x","")</f>
        <v/>
      </c>
      <c r="R1477" s="55" t="str">
        <f>IF(ISERROR(FIND('112'!$M$9,G1477,1)),"",IF((AND(FIND('112'!$M$9,G1477,1)&gt;=1,$B1477&gt;='112'!$N$8,$B1477&lt;='112'!$O$8,OR($L1477='112'!$I$6,$M1477='112'!$I$6))),"x",""))</f>
        <v/>
      </c>
      <c r="S1477" s="55" t="str">
        <f>IF(ISERROR(FIND('112'!$M$9,G1477,1)),"",IF((AND(LEFT(G1477,2)=LEFT('112'!$M$9,2),B1477&lt;'112'!$N$8,$L1477='112'!$I$6)),"x",""))</f>
        <v/>
      </c>
      <c r="T1477" s="55" t="str">
        <f>IF(ISERROR(FIND('112'!$M$9,G1477,1)),"",IF((AND(RIGHT(G1477,2)=RIGHT('112'!$M$9,2),B1477&lt;'112'!$N$8,$M1477='112'!$I$6)),"x",""))</f>
        <v/>
      </c>
      <c r="U1477" s="55" t="str">
        <f>IF(AND('3411-CT'!$F$9=H1477,OR(LEFT(L1477,3)=$U$7,LEFT(M1477,3)=$U$7)),"x","")</f>
        <v/>
      </c>
      <c r="V1477" s="55" t="str">
        <f>IF(OR(TH!L1477=TH!$V$7,M1477=TH!$V$7),"x","")</f>
        <v/>
      </c>
      <c r="W1477" s="55" t="str">
        <f>IF(AND(OR(L1477="131",M1477="131"),H1477='131-CT'!$E$7),"x","")</f>
        <v/>
      </c>
      <c r="X1477" s="55" t="str">
        <f>IF(AND(B1477&gt;='IN-NX'!$P$3,B1477&lt;='IN-NX'!$Q$3,'IN-NX'!$D$7=D1477,OR(LEFT(TH!L1477,2)="15",LEFT(TH!M1477,2)="15")),"x","")</f>
        <v/>
      </c>
      <c r="Y1477" s="55" t="str">
        <f>IF(AND(OR(LEFT(TH!L1477,2)="15",LEFT(TH!M1477,2)="15"),'152-CT'!$J$8=TH!F1477),"x","")</f>
        <v/>
      </c>
      <c r="Z1477" s="55" t="str">
        <f>IF(AND(OR(LEFT(TH!L1477,2)="15",LEFT(TH!M1477,2)="15"),TK!$E$7=TH!F1477),"x","")</f>
        <v/>
      </c>
      <c r="AA1477" s="55" t="str">
        <f>IF(AND(B1477&lt;=NKC!$N$8,B1477&gt;=NKC!$M$8),"x","")</f>
        <v/>
      </c>
    </row>
    <row r="1478" spans="1:27" ht="15.75" customHeight="1">
      <c r="A1478" s="219" t="str">
        <f>IF(B1478&lt;&gt;"",IF(AND(B1478&gt;=_TM1,B1478&lt;=_TM2,OR(TH!L1478="1111",TH!M1478="1111")),TH!D1478,""),"")</f>
        <v/>
      </c>
      <c r="B1478" s="36" t="str">
        <f t="shared" si="57"/>
        <v/>
      </c>
      <c r="C1478" s="37"/>
      <c r="D1478" s="205"/>
      <c r="E1478" s="205"/>
      <c r="F1478" s="206"/>
      <c r="G1478" s="206"/>
      <c r="H1478" s="207"/>
      <c r="I1478" s="277"/>
      <c r="J1478" s="277"/>
      <c r="K1478" s="38"/>
      <c r="L1478" s="208"/>
      <c r="M1478" s="208"/>
      <c r="N1478" s="55" t="str">
        <f>IF(AND('331-CT'!$E$7=TH!H1478,OR(L1478="331",M1478="331")),"x","")</f>
        <v/>
      </c>
      <c r="O1478" s="55" t="str">
        <f>IF(AND($B1478&gt;='111'!$N$11,$B1478&lt;='111'!$O$11,OR($L1478=$O$7,$M1478=$O$7)),"x","")</f>
        <v/>
      </c>
      <c r="P1478" s="55" t="str">
        <f>IF(AND($L1478=$O$7,$B1478&lt;'111'!$N$11),"x","")</f>
        <v/>
      </c>
      <c r="Q1478" s="55" t="str">
        <f>IF(AND($M1478=$O$7,$B1478&lt;'111'!$N$11),"x","")</f>
        <v/>
      </c>
      <c r="R1478" s="55" t="str">
        <f>IF(ISERROR(FIND('112'!$M$9,G1478,1)),"",IF((AND(FIND('112'!$M$9,G1478,1)&gt;=1,$B1478&gt;='112'!$N$8,$B1478&lt;='112'!$O$8,OR($L1478='112'!$I$6,$M1478='112'!$I$6))),"x",""))</f>
        <v/>
      </c>
      <c r="S1478" s="55" t="str">
        <f>IF(ISERROR(FIND('112'!$M$9,G1478,1)),"",IF((AND(LEFT(G1478,2)=LEFT('112'!$M$9,2),B1478&lt;'112'!$N$8,$L1478='112'!$I$6)),"x",""))</f>
        <v/>
      </c>
      <c r="T1478" s="55" t="str">
        <f>IF(ISERROR(FIND('112'!$M$9,G1478,1)),"",IF((AND(RIGHT(G1478,2)=RIGHT('112'!$M$9,2),B1478&lt;'112'!$N$8,$M1478='112'!$I$6)),"x",""))</f>
        <v/>
      </c>
      <c r="U1478" s="55" t="str">
        <f>IF(AND('3411-CT'!$F$9=H1478,OR(LEFT(L1478,3)=$U$7,LEFT(M1478,3)=$U$7)),"x","")</f>
        <v/>
      </c>
      <c r="V1478" s="55" t="str">
        <f>IF(OR(TH!L1478=TH!$V$7,M1478=TH!$V$7),"x","")</f>
        <v/>
      </c>
      <c r="W1478" s="55" t="str">
        <f>IF(AND(OR(L1478="131",M1478="131"),H1478='131-CT'!$E$7),"x","")</f>
        <v/>
      </c>
      <c r="X1478" s="55" t="str">
        <f>IF(AND(B1478&gt;='IN-NX'!$P$3,B1478&lt;='IN-NX'!$Q$3,'IN-NX'!$D$7=D1478,OR(LEFT(TH!L1478,2)="15",LEFT(TH!M1478,2)="15")),"x","")</f>
        <v/>
      </c>
      <c r="Y1478" s="55" t="str">
        <f>IF(AND(OR(LEFT(TH!L1478,2)="15",LEFT(TH!M1478,2)="15"),'152-CT'!$J$8=TH!F1478),"x","")</f>
        <v/>
      </c>
      <c r="Z1478" s="55" t="str">
        <f>IF(AND(OR(LEFT(TH!L1478,2)="15",LEFT(TH!M1478,2)="15"),TK!$E$7=TH!F1478),"x","")</f>
        <v/>
      </c>
      <c r="AA1478" s="55" t="str">
        <f>IF(AND(B1478&lt;=NKC!$N$8,B1478&gt;=NKC!$M$8),"x","")</f>
        <v/>
      </c>
    </row>
    <row r="1479" spans="1:27" ht="15.75" customHeight="1">
      <c r="A1479" s="219" t="str">
        <f>IF(B1479&lt;&gt;"",IF(AND(B1479&gt;=_TM1,B1479&lt;=_TM2,OR(TH!L1479="1111",TH!M1479="1111")),TH!D1479,""),"")</f>
        <v/>
      </c>
      <c r="B1479" s="36" t="str">
        <f t="shared" si="57"/>
        <v/>
      </c>
      <c r="C1479" s="37"/>
      <c r="D1479" s="205"/>
      <c r="E1479" s="205"/>
      <c r="F1479" s="206"/>
      <c r="G1479" s="206"/>
      <c r="H1479" s="207"/>
      <c r="I1479" s="277"/>
      <c r="J1479" s="277"/>
      <c r="K1479" s="38"/>
      <c r="L1479" s="208"/>
      <c r="M1479" s="208"/>
      <c r="N1479" s="55" t="str">
        <f>IF(AND('331-CT'!$E$7=TH!H1479,OR(L1479="331",M1479="331")),"x","")</f>
        <v/>
      </c>
      <c r="O1479" s="55" t="str">
        <f>IF(AND($B1479&gt;='111'!$N$11,$B1479&lt;='111'!$O$11,OR($L1479=$O$7,$M1479=$O$7)),"x","")</f>
        <v/>
      </c>
      <c r="P1479" s="55" t="str">
        <f>IF(AND($L1479=$O$7,$B1479&lt;'111'!$N$11),"x","")</f>
        <v/>
      </c>
      <c r="Q1479" s="55" t="str">
        <f>IF(AND($M1479=$O$7,$B1479&lt;'111'!$N$11),"x","")</f>
        <v/>
      </c>
      <c r="R1479" s="55" t="str">
        <f>IF(ISERROR(FIND('112'!$M$9,G1479,1)),"",IF((AND(FIND('112'!$M$9,G1479,1)&gt;=1,$B1479&gt;='112'!$N$8,$B1479&lt;='112'!$O$8,OR($L1479='112'!$I$6,$M1479='112'!$I$6))),"x",""))</f>
        <v/>
      </c>
      <c r="S1479" s="55" t="str">
        <f>IF(ISERROR(FIND('112'!$M$9,G1479,1)),"",IF((AND(LEFT(G1479,2)=LEFT('112'!$M$9,2),B1479&lt;'112'!$N$8,$L1479='112'!$I$6)),"x",""))</f>
        <v/>
      </c>
      <c r="T1479" s="55" t="str">
        <f>IF(ISERROR(FIND('112'!$M$9,G1479,1)),"",IF((AND(RIGHT(G1479,2)=RIGHT('112'!$M$9,2),B1479&lt;'112'!$N$8,$M1479='112'!$I$6)),"x",""))</f>
        <v/>
      </c>
      <c r="U1479" s="55" t="str">
        <f>IF(AND('3411-CT'!$F$9=H1479,OR(LEFT(L1479,3)=$U$7,LEFT(M1479,3)=$U$7)),"x","")</f>
        <v/>
      </c>
      <c r="V1479" s="55" t="str">
        <f>IF(OR(TH!L1479=TH!$V$7,M1479=TH!$V$7),"x","")</f>
        <v/>
      </c>
      <c r="W1479" s="55" t="str">
        <f>IF(AND(OR(L1479="131",M1479="131"),H1479='131-CT'!$E$7),"x","")</f>
        <v/>
      </c>
      <c r="X1479" s="55" t="str">
        <f>IF(AND(B1479&gt;='IN-NX'!$P$3,B1479&lt;='IN-NX'!$Q$3,'IN-NX'!$D$7=D1479,OR(LEFT(TH!L1479,2)="15",LEFT(TH!M1479,2)="15")),"x","")</f>
        <v/>
      </c>
      <c r="Y1479" s="55" t="str">
        <f>IF(AND(OR(LEFT(TH!L1479,2)="15",LEFT(TH!M1479,2)="15"),'152-CT'!$J$8=TH!F1479),"x","")</f>
        <v/>
      </c>
      <c r="Z1479" s="55" t="str">
        <f>IF(AND(OR(LEFT(TH!L1479,2)="15",LEFT(TH!M1479,2)="15"),TK!$E$7=TH!F1479),"x","")</f>
        <v/>
      </c>
      <c r="AA1479" s="55" t="str">
        <f>IF(AND(B1479&lt;=NKC!$N$8,B1479&gt;=NKC!$M$8),"x","")</f>
        <v/>
      </c>
    </row>
    <row r="1480" spans="1:27" ht="15.75" customHeight="1">
      <c r="A1480" s="219" t="str">
        <f>IF(B1480&lt;&gt;"",IF(AND(B1480&gt;=_TM1,B1480&lt;=_TM2,OR(TH!L1480="1111",TH!M1480="1111")),TH!D1480,""),"")</f>
        <v/>
      </c>
      <c r="B1480" s="36" t="str">
        <f t="shared" si="57"/>
        <v/>
      </c>
      <c r="C1480" s="37"/>
      <c r="D1480" s="205"/>
      <c r="E1480" s="205"/>
      <c r="F1480" s="206"/>
      <c r="G1480" s="206"/>
      <c r="H1480" s="207"/>
      <c r="I1480" s="277"/>
      <c r="J1480" s="277"/>
      <c r="K1480" s="38"/>
      <c r="L1480" s="208"/>
      <c r="M1480" s="208"/>
      <c r="N1480" s="55" t="str">
        <f>IF(AND('331-CT'!$E$7=TH!H1480,OR(L1480="331",M1480="331")),"x","")</f>
        <v/>
      </c>
      <c r="O1480" s="55" t="str">
        <f>IF(AND($B1480&gt;='111'!$N$11,$B1480&lt;='111'!$O$11,OR($L1480=$O$7,$M1480=$O$7)),"x","")</f>
        <v/>
      </c>
      <c r="P1480" s="55" t="str">
        <f>IF(AND($L1480=$O$7,$B1480&lt;'111'!$N$11),"x","")</f>
        <v/>
      </c>
      <c r="Q1480" s="55" t="str">
        <f>IF(AND($M1480=$O$7,$B1480&lt;'111'!$N$11),"x","")</f>
        <v/>
      </c>
      <c r="R1480" s="55" t="str">
        <f>IF(ISERROR(FIND('112'!$M$9,G1480,1)),"",IF((AND(FIND('112'!$M$9,G1480,1)&gt;=1,$B1480&gt;='112'!$N$8,$B1480&lt;='112'!$O$8,OR($L1480='112'!$I$6,$M1480='112'!$I$6))),"x",""))</f>
        <v/>
      </c>
      <c r="S1480" s="55" t="str">
        <f>IF(ISERROR(FIND('112'!$M$9,G1480,1)),"",IF((AND(LEFT(G1480,2)=LEFT('112'!$M$9,2),B1480&lt;'112'!$N$8,$L1480='112'!$I$6)),"x",""))</f>
        <v/>
      </c>
      <c r="T1480" s="55" t="str">
        <f>IF(ISERROR(FIND('112'!$M$9,G1480,1)),"",IF((AND(RIGHT(G1480,2)=RIGHT('112'!$M$9,2),B1480&lt;'112'!$N$8,$M1480='112'!$I$6)),"x",""))</f>
        <v/>
      </c>
      <c r="U1480" s="55" t="str">
        <f>IF(AND('3411-CT'!$F$9=H1480,OR(LEFT(L1480,3)=$U$7,LEFT(M1480,3)=$U$7)),"x","")</f>
        <v/>
      </c>
      <c r="V1480" s="55" t="str">
        <f>IF(OR(TH!L1480=TH!$V$7,M1480=TH!$V$7),"x","")</f>
        <v/>
      </c>
      <c r="W1480" s="55" t="str">
        <f>IF(AND(OR(L1480="131",M1480="131"),H1480='131-CT'!$E$7),"x","")</f>
        <v/>
      </c>
      <c r="X1480" s="55" t="str">
        <f>IF(AND(B1480&gt;='IN-NX'!$P$3,B1480&lt;='IN-NX'!$Q$3,'IN-NX'!$D$7=D1480,OR(LEFT(TH!L1480,2)="15",LEFT(TH!M1480,2)="15")),"x","")</f>
        <v/>
      </c>
      <c r="Y1480" s="55" t="str">
        <f>IF(AND(OR(LEFT(TH!L1480,2)="15",LEFT(TH!M1480,2)="15"),'152-CT'!$J$8=TH!F1480),"x","")</f>
        <v/>
      </c>
      <c r="Z1480" s="55" t="str">
        <f>IF(AND(OR(LEFT(TH!L1480,2)="15",LEFT(TH!M1480,2)="15"),TK!$E$7=TH!F1480),"x","")</f>
        <v/>
      </c>
      <c r="AA1480" s="55" t="str">
        <f>IF(AND(B1480&lt;=NKC!$N$8,B1480&gt;=NKC!$M$8),"x","")</f>
        <v/>
      </c>
    </row>
    <row r="1481" spans="1:27" ht="15.75" customHeight="1">
      <c r="A1481" s="219" t="str">
        <f>IF(B1481&lt;&gt;"",IF(AND(B1481&gt;=_TM1,B1481&lt;=_TM2,OR(TH!L1481="1111",TH!M1481="1111")),TH!D1481,""),"")</f>
        <v/>
      </c>
      <c r="B1481" s="36" t="str">
        <f t="shared" si="57"/>
        <v/>
      </c>
      <c r="C1481" s="37"/>
      <c r="D1481" s="205"/>
      <c r="E1481" s="205"/>
      <c r="F1481" s="206"/>
      <c r="G1481" s="206"/>
      <c r="H1481" s="207"/>
      <c r="I1481" s="277"/>
      <c r="J1481" s="277"/>
      <c r="K1481" s="38"/>
      <c r="L1481" s="208"/>
      <c r="M1481" s="208"/>
      <c r="N1481" s="55" t="str">
        <f>IF(AND('331-CT'!$E$7=TH!H1481,OR(L1481="331",M1481="331")),"x","")</f>
        <v/>
      </c>
      <c r="O1481" s="55" t="str">
        <f>IF(AND($B1481&gt;='111'!$N$11,$B1481&lt;='111'!$O$11,OR($L1481=$O$7,$M1481=$O$7)),"x","")</f>
        <v/>
      </c>
      <c r="P1481" s="55" t="str">
        <f>IF(AND($L1481=$O$7,$B1481&lt;'111'!$N$11),"x","")</f>
        <v/>
      </c>
      <c r="Q1481" s="55" t="str">
        <f>IF(AND($M1481=$O$7,$B1481&lt;'111'!$N$11),"x","")</f>
        <v/>
      </c>
      <c r="R1481" s="55" t="str">
        <f>IF(ISERROR(FIND('112'!$M$9,G1481,1)),"",IF((AND(FIND('112'!$M$9,G1481,1)&gt;=1,$B1481&gt;='112'!$N$8,$B1481&lt;='112'!$O$8,OR($L1481='112'!$I$6,$M1481='112'!$I$6))),"x",""))</f>
        <v/>
      </c>
      <c r="S1481" s="55" t="str">
        <f>IF(ISERROR(FIND('112'!$M$9,G1481,1)),"",IF((AND(LEFT(G1481,2)=LEFT('112'!$M$9,2),B1481&lt;'112'!$N$8,$L1481='112'!$I$6)),"x",""))</f>
        <v/>
      </c>
      <c r="T1481" s="55" t="str">
        <f>IF(ISERROR(FIND('112'!$M$9,G1481,1)),"",IF((AND(RIGHT(G1481,2)=RIGHT('112'!$M$9,2),B1481&lt;'112'!$N$8,$M1481='112'!$I$6)),"x",""))</f>
        <v/>
      </c>
      <c r="U1481" s="55" t="str">
        <f>IF(AND('3411-CT'!$F$9=H1481,OR(LEFT(L1481,3)=$U$7,LEFT(M1481,3)=$U$7)),"x","")</f>
        <v/>
      </c>
      <c r="V1481" s="55" t="str">
        <f>IF(OR(TH!L1481=TH!$V$7,M1481=TH!$V$7),"x","")</f>
        <v/>
      </c>
      <c r="W1481" s="55" t="str">
        <f>IF(AND(OR(L1481="131",M1481="131"),H1481='131-CT'!$E$7),"x","")</f>
        <v/>
      </c>
      <c r="X1481" s="55" t="str">
        <f>IF(AND(B1481&gt;='IN-NX'!$P$3,B1481&lt;='IN-NX'!$Q$3,'IN-NX'!$D$7=D1481,OR(LEFT(TH!L1481,2)="15",LEFT(TH!M1481,2)="15")),"x","")</f>
        <v/>
      </c>
      <c r="Y1481" s="55" t="str">
        <f>IF(AND(OR(LEFT(TH!L1481,2)="15",LEFT(TH!M1481,2)="15"),'152-CT'!$J$8=TH!F1481),"x","")</f>
        <v/>
      </c>
      <c r="Z1481" s="55" t="str">
        <f>IF(AND(OR(LEFT(TH!L1481,2)="15",LEFT(TH!M1481,2)="15"),TK!$E$7=TH!F1481),"x","")</f>
        <v/>
      </c>
      <c r="AA1481" s="55" t="str">
        <f>IF(AND(B1481&lt;=NKC!$N$8,B1481&gt;=NKC!$M$8),"x","")</f>
        <v/>
      </c>
    </row>
    <row r="1482" spans="1:27" ht="15.75" customHeight="1">
      <c r="A1482" s="219" t="str">
        <f>IF(B1482&lt;&gt;"",IF(AND(B1482&gt;=_TM1,B1482&lt;=_TM2,OR(TH!L1482="1111",TH!M1482="1111")),TH!D1482,""),"")</f>
        <v/>
      </c>
      <c r="B1482" s="36" t="str">
        <f t="shared" si="57"/>
        <v/>
      </c>
      <c r="C1482" s="37"/>
      <c r="D1482" s="205"/>
      <c r="E1482" s="205"/>
      <c r="F1482" s="206"/>
      <c r="G1482" s="206"/>
      <c r="H1482" s="207"/>
      <c r="I1482" s="277"/>
      <c r="J1482" s="277"/>
      <c r="K1482" s="38"/>
      <c r="L1482" s="208"/>
      <c r="M1482" s="208"/>
      <c r="N1482" s="55" t="str">
        <f>IF(AND('331-CT'!$E$7=TH!H1482,OR(L1482="331",M1482="331")),"x","")</f>
        <v/>
      </c>
      <c r="O1482" s="55" t="str">
        <f>IF(AND($B1482&gt;='111'!$N$11,$B1482&lt;='111'!$O$11,OR($L1482=$O$7,$M1482=$O$7)),"x","")</f>
        <v/>
      </c>
      <c r="P1482" s="55" t="str">
        <f>IF(AND($L1482=$O$7,$B1482&lt;'111'!$N$11),"x","")</f>
        <v/>
      </c>
      <c r="Q1482" s="55" t="str">
        <f>IF(AND($M1482=$O$7,$B1482&lt;'111'!$N$11),"x","")</f>
        <v/>
      </c>
      <c r="R1482" s="55" t="str">
        <f>IF(ISERROR(FIND('112'!$M$9,G1482,1)),"",IF((AND(FIND('112'!$M$9,G1482,1)&gt;=1,$B1482&gt;='112'!$N$8,$B1482&lt;='112'!$O$8,OR($L1482='112'!$I$6,$M1482='112'!$I$6))),"x",""))</f>
        <v/>
      </c>
      <c r="S1482" s="55" t="str">
        <f>IF(ISERROR(FIND('112'!$M$9,G1482,1)),"",IF((AND(LEFT(G1482,2)=LEFT('112'!$M$9,2),B1482&lt;'112'!$N$8,$L1482='112'!$I$6)),"x",""))</f>
        <v/>
      </c>
      <c r="T1482" s="55" t="str">
        <f>IF(ISERROR(FIND('112'!$M$9,G1482,1)),"",IF((AND(RIGHT(G1482,2)=RIGHT('112'!$M$9,2),B1482&lt;'112'!$N$8,$M1482='112'!$I$6)),"x",""))</f>
        <v/>
      </c>
      <c r="U1482" s="55" t="str">
        <f>IF(AND('3411-CT'!$F$9=H1482,OR(LEFT(L1482,3)=$U$7,LEFT(M1482,3)=$U$7)),"x","")</f>
        <v/>
      </c>
      <c r="V1482" s="55" t="str">
        <f>IF(OR(TH!L1482=TH!$V$7,M1482=TH!$V$7),"x","")</f>
        <v/>
      </c>
      <c r="W1482" s="55" t="str">
        <f>IF(AND(OR(L1482="131",M1482="131"),H1482='131-CT'!$E$7),"x","")</f>
        <v/>
      </c>
      <c r="X1482" s="55" t="str">
        <f>IF(AND(B1482&gt;='IN-NX'!$P$3,B1482&lt;='IN-NX'!$Q$3,'IN-NX'!$D$7=D1482,OR(LEFT(TH!L1482,2)="15",LEFT(TH!M1482,2)="15")),"x","")</f>
        <v/>
      </c>
      <c r="Y1482" s="55" t="str">
        <f>IF(AND(OR(LEFT(TH!L1482,2)="15",LEFT(TH!M1482,2)="15"),'152-CT'!$J$8=TH!F1482),"x","")</f>
        <v/>
      </c>
      <c r="Z1482" s="55" t="str">
        <f>IF(AND(OR(LEFT(TH!L1482,2)="15",LEFT(TH!M1482,2)="15"),TK!$E$7=TH!F1482),"x","")</f>
        <v/>
      </c>
      <c r="AA1482" s="55" t="str">
        <f>IF(AND(B1482&lt;=NKC!$N$8,B1482&gt;=NKC!$M$8),"x","")</f>
        <v/>
      </c>
    </row>
    <row r="1483" spans="1:27" ht="15.75" customHeight="1">
      <c r="A1483" s="219" t="str">
        <f>IF(B1483&lt;&gt;"",IF(AND(B1483&gt;=_TM1,B1483&lt;=_TM2,OR(TH!L1483="1111",TH!M1483="1111")),TH!D1483,""),"")</f>
        <v/>
      </c>
      <c r="B1483" s="36" t="str">
        <f t="shared" si="57"/>
        <v/>
      </c>
      <c r="C1483" s="37"/>
      <c r="D1483" s="205"/>
      <c r="E1483" s="205"/>
      <c r="F1483" s="206"/>
      <c r="G1483" s="206"/>
      <c r="H1483" s="207"/>
      <c r="I1483" s="277"/>
      <c r="J1483" s="277"/>
      <c r="K1483" s="38"/>
      <c r="L1483" s="208"/>
      <c r="M1483" s="208"/>
      <c r="N1483" s="55" t="str">
        <f>IF(AND('331-CT'!$E$7=TH!H1483,OR(L1483="331",M1483="331")),"x","")</f>
        <v/>
      </c>
      <c r="O1483" s="55" t="str">
        <f>IF(AND($B1483&gt;='111'!$N$11,$B1483&lt;='111'!$O$11,OR($L1483=$O$7,$M1483=$O$7)),"x","")</f>
        <v/>
      </c>
      <c r="P1483" s="55" t="str">
        <f>IF(AND($L1483=$O$7,$B1483&lt;'111'!$N$11),"x","")</f>
        <v/>
      </c>
      <c r="Q1483" s="55" t="str">
        <f>IF(AND($M1483=$O$7,$B1483&lt;'111'!$N$11),"x","")</f>
        <v/>
      </c>
      <c r="R1483" s="55" t="str">
        <f>IF(ISERROR(FIND('112'!$M$9,G1483,1)),"",IF((AND(FIND('112'!$M$9,G1483,1)&gt;=1,$B1483&gt;='112'!$N$8,$B1483&lt;='112'!$O$8,OR($L1483='112'!$I$6,$M1483='112'!$I$6))),"x",""))</f>
        <v/>
      </c>
      <c r="S1483" s="55" t="str">
        <f>IF(ISERROR(FIND('112'!$M$9,G1483,1)),"",IF((AND(LEFT(G1483,2)=LEFT('112'!$M$9,2),B1483&lt;'112'!$N$8,$L1483='112'!$I$6)),"x",""))</f>
        <v/>
      </c>
      <c r="T1483" s="55" t="str">
        <f>IF(ISERROR(FIND('112'!$M$9,G1483,1)),"",IF((AND(RIGHT(G1483,2)=RIGHT('112'!$M$9,2),B1483&lt;'112'!$N$8,$M1483='112'!$I$6)),"x",""))</f>
        <v/>
      </c>
      <c r="U1483" s="55" t="str">
        <f>IF(AND('3411-CT'!$F$9=H1483,OR(LEFT(L1483,3)=$U$7,LEFT(M1483,3)=$U$7)),"x","")</f>
        <v/>
      </c>
      <c r="V1483" s="55" t="str">
        <f>IF(OR(TH!L1483=TH!$V$7,M1483=TH!$V$7),"x","")</f>
        <v/>
      </c>
      <c r="W1483" s="55" t="str">
        <f>IF(AND(OR(L1483="131",M1483="131"),H1483='131-CT'!$E$7),"x","")</f>
        <v/>
      </c>
      <c r="X1483" s="55" t="str">
        <f>IF(AND(B1483&gt;='IN-NX'!$P$3,B1483&lt;='IN-NX'!$Q$3,'IN-NX'!$D$7=D1483,OR(LEFT(TH!L1483,2)="15",LEFT(TH!M1483,2)="15")),"x","")</f>
        <v/>
      </c>
      <c r="Y1483" s="55" t="str">
        <f>IF(AND(OR(LEFT(TH!L1483,2)="15",LEFT(TH!M1483,2)="15"),'152-CT'!$J$8=TH!F1483),"x","")</f>
        <v/>
      </c>
      <c r="Z1483" s="55" t="str">
        <f>IF(AND(OR(LEFT(TH!L1483,2)="15",LEFT(TH!M1483,2)="15"),TK!$E$7=TH!F1483),"x","")</f>
        <v/>
      </c>
      <c r="AA1483" s="55" t="str">
        <f>IF(AND(B1483&lt;=NKC!$N$8,B1483&gt;=NKC!$M$8),"x","")</f>
        <v/>
      </c>
    </row>
    <row r="1484" spans="1:27" ht="15.75" customHeight="1">
      <c r="A1484" s="219" t="str">
        <f>IF(B1484&lt;&gt;"",IF(AND(B1484&gt;=_TM1,B1484&lt;=_TM2,OR(TH!L1484="1111",TH!M1484="1111")),TH!D1484,""),"")</f>
        <v/>
      </c>
      <c r="B1484" s="36" t="str">
        <f t="shared" si="57"/>
        <v/>
      </c>
      <c r="C1484" s="37"/>
      <c r="D1484" s="205"/>
      <c r="E1484" s="205"/>
      <c r="F1484" s="206"/>
      <c r="G1484" s="206"/>
      <c r="H1484" s="207"/>
      <c r="I1484" s="277"/>
      <c r="J1484" s="277"/>
      <c r="K1484" s="38"/>
      <c r="L1484" s="208"/>
      <c r="M1484" s="208"/>
      <c r="N1484" s="55" t="str">
        <f>IF(AND('331-CT'!$E$7=TH!H1484,OR(L1484="331",M1484="331")),"x","")</f>
        <v/>
      </c>
      <c r="O1484" s="55" t="str">
        <f>IF(AND($B1484&gt;='111'!$N$11,$B1484&lt;='111'!$O$11,OR($L1484=$O$7,$M1484=$O$7)),"x","")</f>
        <v/>
      </c>
      <c r="P1484" s="55" t="str">
        <f>IF(AND($L1484=$O$7,$B1484&lt;'111'!$N$11),"x","")</f>
        <v/>
      </c>
      <c r="Q1484" s="55" t="str">
        <f>IF(AND($M1484=$O$7,$B1484&lt;'111'!$N$11),"x","")</f>
        <v/>
      </c>
      <c r="R1484" s="55" t="str">
        <f>IF(ISERROR(FIND('112'!$M$9,G1484,1)),"",IF((AND(FIND('112'!$M$9,G1484,1)&gt;=1,$B1484&gt;='112'!$N$8,$B1484&lt;='112'!$O$8,OR($L1484='112'!$I$6,$M1484='112'!$I$6))),"x",""))</f>
        <v/>
      </c>
      <c r="S1484" s="55" t="str">
        <f>IF(ISERROR(FIND('112'!$M$9,G1484,1)),"",IF((AND(LEFT(G1484,2)=LEFT('112'!$M$9,2),B1484&lt;'112'!$N$8,$L1484='112'!$I$6)),"x",""))</f>
        <v/>
      </c>
      <c r="T1484" s="55" t="str">
        <f>IF(ISERROR(FIND('112'!$M$9,G1484,1)),"",IF((AND(RIGHT(G1484,2)=RIGHT('112'!$M$9,2),B1484&lt;'112'!$N$8,$M1484='112'!$I$6)),"x",""))</f>
        <v/>
      </c>
      <c r="U1484" s="55" t="str">
        <f>IF(AND('3411-CT'!$F$9=H1484,OR(LEFT(L1484,3)=$U$7,LEFT(M1484,3)=$U$7)),"x","")</f>
        <v/>
      </c>
      <c r="V1484" s="55" t="str">
        <f>IF(OR(TH!L1484=TH!$V$7,M1484=TH!$V$7),"x","")</f>
        <v/>
      </c>
      <c r="W1484" s="55" t="str">
        <f>IF(AND(OR(L1484="131",M1484="131"),H1484='131-CT'!$E$7),"x","")</f>
        <v/>
      </c>
      <c r="X1484" s="55" t="str">
        <f>IF(AND(B1484&gt;='IN-NX'!$P$3,B1484&lt;='IN-NX'!$Q$3,'IN-NX'!$D$7=D1484,OR(LEFT(TH!L1484,2)="15",LEFT(TH!M1484,2)="15")),"x","")</f>
        <v/>
      </c>
      <c r="Y1484" s="55" t="str">
        <f>IF(AND(OR(LEFT(TH!L1484,2)="15",LEFT(TH!M1484,2)="15"),'152-CT'!$J$8=TH!F1484),"x","")</f>
        <v/>
      </c>
      <c r="Z1484" s="55" t="str">
        <f>IF(AND(OR(LEFT(TH!L1484,2)="15",LEFT(TH!M1484,2)="15"),TK!$E$7=TH!F1484),"x","")</f>
        <v/>
      </c>
      <c r="AA1484" s="55" t="str">
        <f>IF(AND(B1484&lt;=NKC!$N$8,B1484&gt;=NKC!$M$8),"x","")</f>
        <v/>
      </c>
    </row>
    <row r="1485" spans="1:27" ht="15.75" customHeight="1">
      <c r="A1485" s="219" t="str">
        <f>IF(B1485&lt;&gt;"",IF(AND(B1485&gt;=_TM1,B1485&lt;=_TM2,OR(TH!L1485="1111",TH!M1485="1111")),TH!D1485,""),"")</f>
        <v/>
      </c>
      <c r="B1485" s="36" t="str">
        <f t="shared" si="57"/>
        <v/>
      </c>
      <c r="C1485" s="37"/>
      <c r="D1485" s="37"/>
      <c r="E1485" s="37"/>
      <c r="F1485" s="40"/>
      <c r="G1485" s="580"/>
      <c r="H1485" s="45"/>
      <c r="I1485" s="277"/>
      <c r="J1485" s="277"/>
      <c r="K1485" s="38"/>
      <c r="L1485" s="208"/>
      <c r="M1485" s="39"/>
      <c r="N1485" s="55" t="str">
        <f>IF(AND('331-CT'!$E$7=TH!H1485,OR(L1485="331",M1485="331")),"x","")</f>
        <v/>
      </c>
      <c r="O1485" s="55" t="str">
        <f>IF(AND($B1485&gt;='111'!$N$11,$B1485&lt;='111'!$O$11,OR($L1485=$O$7,$M1485=$O$7)),"x","")</f>
        <v/>
      </c>
      <c r="P1485" s="55" t="str">
        <f>IF(AND($L1485=$O$7,$B1485&lt;'111'!$N$11),"x","")</f>
        <v/>
      </c>
      <c r="Q1485" s="55" t="str">
        <f>IF(AND($M1485=$O$7,$B1485&lt;'111'!$N$11),"x","")</f>
        <v/>
      </c>
      <c r="R1485" s="55" t="str">
        <f>IF(ISERROR(FIND('112'!$M$9,G1485,1)),"",IF((AND(FIND('112'!$M$9,G1485,1)&gt;=1,$B1485&gt;='112'!$N$8,$B1485&lt;='112'!$O$8,OR($L1485='112'!$I$6,$M1485='112'!$I$6))),"x",""))</f>
        <v/>
      </c>
      <c r="S1485" s="55" t="str">
        <f>IF(ISERROR(FIND('112'!$M$9,G1485,1)),"",IF((AND(LEFT(G1485,2)=LEFT('112'!$M$9,2),B1485&lt;'112'!$N$8,$L1485='112'!$I$6)),"x",""))</f>
        <v/>
      </c>
      <c r="T1485" s="55" t="str">
        <f>IF(ISERROR(FIND('112'!$M$9,G1485,1)),"",IF((AND(RIGHT(G1485,2)=RIGHT('112'!$M$9,2),B1485&lt;'112'!$N$8,$M1485='112'!$I$6)),"x",""))</f>
        <v/>
      </c>
      <c r="U1485" s="55" t="str">
        <f>IF(AND('3411-CT'!$F$9=H1485,OR(LEFT(L1485,3)=$U$7,LEFT(M1485,3)=$U$7)),"x","")</f>
        <v/>
      </c>
      <c r="V1485" s="55" t="str">
        <f>IF(OR(TH!L1485=TH!$V$7,M1485=TH!$V$7),"x","")</f>
        <v/>
      </c>
      <c r="W1485" s="55" t="str">
        <f>IF(AND(OR(L1485="131",M1485="131"),H1485='131-CT'!$E$7),"x","")</f>
        <v/>
      </c>
      <c r="X1485" s="55" t="str">
        <f>IF(AND(B1485&gt;='IN-NX'!$P$3,B1485&lt;='IN-NX'!$Q$3,'IN-NX'!$D$7=D1485,OR(LEFT(TH!L1485,2)="15",LEFT(TH!M1485,2)="15")),"x","")</f>
        <v/>
      </c>
      <c r="Y1485" s="55" t="str">
        <f>IF(AND(OR(LEFT(TH!L1485,2)="15",LEFT(TH!M1485,2)="15"),'152-CT'!$J$8=TH!F1485),"x","")</f>
        <v/>
      </c>
      <c r="Z1485" s="55" t="str">
        <f>IF(AND(OR(LEFT(TH!L1485,2)="15",LEFT(TH!M1485,2)="15"),TK!$E$7=TH!F1485),"x","")</f>
        <v/>
      </c>
      <c r="AA1485" s="55" t="str">
        <f>IF(AND(B1485&lt;=NKC!$N$8,B1485&gt;=NKC!$M$8),"x","")</f>
        <v/>
      </c>
    </row>
    <row r="1486" spans="1:27" ht="15.75" customHeight="1">
      <c r="A1486" s="219" t="str">
        <f>IF(B1486&lt;&gt;"",IF(AND(B1486&gt;=_TM1,B1486&lt;=_TM2,OR(TH!L1486="1111",TH!M1486="1111")),TH!D1486,""),"")</f>
        <v/>
      </c>
      <c r="B1486" s="36" t="str">
        <f t="shared" si="57"/>
        <v/>
      </c>
      <c r="C1486" s="37"/>
      <c r="D1486" s="37"/>
      <c r="E1486" s="37"/>
      <c r="F1486" s="40"/>
      <c r="G1486" s="580"/>
      <c r="H1486" s="45"/>
      <c r="I1486" s="277"/>
      <c r="J1486" s="277"/>
      <c r="K1486" s="38"/>
      <c r="L1486" s="208"/>
      <c r="M1486" s="39"/>
      <c r="N1486" s="55" t="str">
        <f>IF(AND('331-CT'!$E$7=TH!H1486,OR(L1486="331",M1486="331")),"x","")</f>
        <v/>
      </c>
      <c r="O1486" s="55" t="str">
        <f>IF(AND($B1486&gt;='111'!$N$11,$B1486&lt;='111'!$O$11,OR($L1486=$O$7,$M1486=$O$7)),"x","")</f>
        <v/>
      </c>
      <c r="P1486" s="55" t="str">
        <f>IF(AND($L1486=$O$7,$B1486&lt;'111'!$N$11),"x","")</f>
        <v/>
      </c>
      <c r="Q1486" s="55" t="str">
        <f>IF(AND($M1486=$O$7,$B1486&lt;'111'!$N$11),"x","")</f>
        <v/>
      </c>
      <c r="R1486" s="55" t="str">
        <f>IF(ISERROR(FIND('112'!$M$9,G1486,1)),"",IF((AND(FIND('112'!$M$9,G1486,1)&gt;=1,$B1486&gt;='112'!$N$8,$B1486&lt;='112'!$O$8,OR($L1486='112'!$I$6,$M1486='112'!$I$6))),"x",""))</f>
        <v/>
      </c>
      <c r="S1486" s="55" t="str">
        <f>IF(ISERROR(FIND('112'!$M$9,G1486,1)),"",IF((AND(LEFT(G1486,2)=LEFT('112'!$M$9,2),B1486&lt;'112'!$N$8,$L1486='112'!$I$6)),"x",""))</f>
        <v/>
      </c>
      <c r="T1486" s="55" t="str">
        <f>IF(ISERROR(FIND('112'!$M$9,G1486,1)),"",IF((AND(RIGHT(G1486,2)=RIGHT('112'!$M$9,2),B1486&lt;'112'!$N$8,$M1486='112'!$I$6)),"x",""))</f>
        <v/>
      </c>
      <c r="U1486" s="55" t="str">
        <f>IF(AND('3411-CT'!$F$9=H1486,OR(LEFT(L1486,3)=$U$7,LEFT(M1486,3)=$U$7)),"x","")</f>
        <v/>
      </c>
      <c r="V1486" s="55" t="str">
        <f>IF(OR(TH!L1486=TH!$V$7,M1486=TH!$V$7),"x","")</f>
        <v/>
      </c>
      <c r="W1486" s="55" t="str">
        <f>IF(AND(OR(L1486="131",M1486="131"),H1486='131-CT'!$E$7),"x","")</f>
        <v/>
      </c>
      <c r="X1486" s="55" t="str">
        <f>IF(AND(B1486&gt;='IN-NX'!$P$3,B1486&lt;='IN-NX'!$Q$3,'IN-NX'!$D$7=D1486,OR(LEFT(TH!L1486,2)="15",LEFT(TH!M1486,2)="15")),"x","")</f>
        <v/>
      </c>
      <c r="Y1486" s="55" t="str">
        <f>IF(AND(OR(LEFT(TH!L1486,2)="15",LEFT(TH!M1486,2)="15"),'152-CT'!$J$8=TH!F1486),"x","")</f>
        <v/>
      </c>
      <c r="Z1486" s="55" t="str">
        <f>IF(AND(OR(LEFT(TH!L1486,2)="15",LEFT(TH!M1486,2)="15"),TK!$E$7=TH!F1486),"x","")</f>
        <v/>
      </c>
      <c r="AA1486" s="55" t="str">
        <f>IF(AND(B1486&lt;=NKC!$N$8,B1486&gt;=NKC!$M$8),"x","")</f>
        <v/>
      </c>
    </row>
    <row r="1487" spans="1:27" ht="15.75" customHeight="1">
      <c r="A1487" s="219" t="str">
        <f>IF(B1487&lt;&gt;"",IF(AND(B1487&gt;=_TM1,B1487&lt;=_TM2,OR(TH!L1487="1111",TH!M1487="1111")),TH!D1487,""),"")</f>
        <v/>
      </c>
      <c r="B1487" s="36" t="str">
        <f t="shared" si="57"/>
        <v/>
      </c>
      <c r="C1487" s="37"/>
      <c r="D1487" s="205"/>
      <c r="E1487" s="205"/>
      <c r="F1487" s="40"/>
      <c r="G1487" s="40"/>
      <c r="H1487" s="45"/>
      <c r="I1487" s="277"/>
      <c r="J1487" s="277"/>
      <c r="K1487" s="38"/>
      <c r="L1487" s="39"/>
      <c r="M1487" s="39"/>
      <c r="N1487" s="55" t="str">
        <f>IF(AND('331-CT'!$E$7=TH!H1487,OR(L1487="331",M1487="331")),"x","")</f>
        <v/>
      </c>
      <c r="O1487" s="55" t="str">
        <f>IF(AND($B1487&gt;='111'!$N$11,$B1487&lt;='111'!$O$11,OR($L1487=$O$7,$M1487=$O$7)),"x","")</f>
        <v/>
      </c>
      <c r="P1487" s="55" t="str">
        <f>IF(AND($L1487=$O$7,$B1487&lt;'111'!$N$11),"x","")</f>
        <v/>
      </c>
      <c r="Q1487" s="55" t="str">
        <f>IF(AND($M1487=$O$7,$B1487&lt;'111'!$N$11),"x","")</f>
        <v/>
      </c>
      <c r="R1487" s="55" t="str">
        <f>IF(ISERROR(FIND('112'!$M$9,G1487,1)),"",IF((AND(FIND('112'!$M$9,G1487,1)&gt;=1,$B1487&gt;='112'!$N$8,$B1487&lt;='112'!$O$8,OR($L1487='112'!$I$6,$M1487='112'!$I$6))),"x",""))</f>
        <v/>
      </c>
      <c r="S1487" s="55" t="str">
        <f>IF(ISERROR(FIND('112'!$M$9,G1487,1)),"",IF((AND(LEFT(G1487,2)=LEFT('112'!$M$9,2),B1487&lt;'112'!$N$8,$L1487='112'!$I$6)),"x",""))</f>
        <v/>
      </c>
      <c r="T1487" s="55" t="str">
        <f>IF(ISERROR(FIND('112'!$M$9,G1487,1)),"",IF((AND(RIGHT(G1487,2)=RIGHT('112'!$M$9,2),B1487&lt;'112'!$N$8,$M1487='112'!$I$6)),"x",""))</f>
        <v/>
      </c>
      <c r="U1487" s="55" t="str">
        <f>IF(AND('3411-CT'!$F$9=H1487,OR(LEFT(L1487,3)=$U$7,LEFT(M1487,3)=$U$7)),"x","")</f>
        <v/>
      </c>
      <c r="V1487" s="55" t="str">
        <f>IF(OR(TH!L1487=TH!$V$7,M1487=TH!$V$7),"x","")</f>
        <v/>
      </c>
      <c r="W1487" s="55" t="str">
        <f>IF(AND(OR(L1487="131",M1487="131"),H1487='131-CT'!$E$7),"x","")</f>
        <v/>
      </c>
      <c r="X1487" s="55" t="str">
        <f>IF(AND(B1487&gt;='IN-NX'!$P$3,B1487&lt;='IN-NX'!$Q$3,'IN-NX'!$D$7=D1487,OR(LEFT(TH!L1487,2)="15",LEFT(TH!M1487,2)="15")),"x","")</f>
        <v/>
      </c>
      <c r="Y1487" s="55" t="str">
        <f>IF(AND(OR(LEFT(TH!L1487,2)="15",LEFT(TH!M1487,2)="15"),'152-CT'!$J$8=TH!F1487),"x","")</f>
        <v/>
      </c>
      <c r="Z1487" s="55" t="str">
        <f>IF(AND(OR(LEFT(TH!L1487,2)="15",LEFT(TH!M1487,2)="15"),TK!$E$7=TH!F1487),"x","")</f>
        <v/>
      </c>
      <c r="AA1487" s="55" t="str">
        <f>IF(AND(B1487&lt;=NKC!$N$8,B1487&gt;=NKC!$M$8),"x","")</f>
        <v/>
      </c>
    </row>
    <row r="1488" spans="1:27" ht="15.75" customHeight="1">
      <c r="A1488" s="219" t="str">
        <f>IF(B1488&lt;&gt;"",IF(AND(B1488&gt;=_TM1,B1488&lt;=_TM2,OR(TH!L1488="1111",TH!M1488="1111")),TH!D1488,""),"")</f>
        <v/>
      </c>
      <c r="B1488" s="36" t="str">
        <f t="shared" si="57"/>
        <v/>
      </c>
      <c r="C1488" s="37"/>
      <c r="D1488" s="37"/>
      <c r="E1488" s="37"/>
      <c r="F1488" s="40"/>
      <c r="G1488" s="580"/>
      <c r="H1488" s="45"/>
      <c r="I1488" s="277"/>
      <c r="J1488" s="277"/>
      <c r="K1488" s="38"/>
      <c r="L1488" s="39"/>
      <c r="M1488" s="39"/>
      <c r="N1488" s="55" t="str">
        <f>IF(AND('331-CT'!$E$7=TH!H1488,OR(L1488="331",M1488="331")),"x","")</f>
        <v/>
      </c>
      <c r="O1488" s="55" t="str">
        <f>IF(AND($B1488&gt;='111'!$N$11,$B1488&lt;='111'!$O$11,OR($L1488=$O$7,$M1488=$O$7)),"x","")</f>
        <v/>
      </c>
      <c r="P1488" s="55" t="str">
        <f>IF(AND($L1488=$O$7,$B1488&lt;'111'!$N$11),"x","")</f>
        <v/>
      </c>
      <c r="Q1488" s="55" t="str">
        <f>IF(AND($M1488=$O$7,$B1488&lt;'111'!$N$11),"x","")</f>
        <v/>
      </c>
      <c r="R1488" s="55" t="str">
        <f>IF(ISERROR(FIND('112'!$M$9,G1488,1)),"",IF((AND(FIND('112'!$M$9,G1488,1)&gt;=1,$B1488&gt;='112'!$N$8,$B1488&lt;='112'!$O$8,OR($L1488='112'!$I$6,$M1488='112'!$I$6))),"x",""))</f>
        <v/>
      </c>
      <c r="S1488" s="55" t="str">
        <f>IF(ISERROR(FIND('112'!$M$9,G1488,1)),"",IF((AND(LEFT(G1488,2)=LEFT('112'!$M$9,2),B1488&lt;'112'!$N$8,$L1488='112'!$I$6)),"x",""))</f>
        <v/>
      </c>
      <c r="T1488" s="55" t="str">
        <f>IF(ISERROR(FIND('112'!$M$9,G1488,1)),"",IF((AND(RIGHT(G1488,2)=RIGHT('112'!$M$9,2),B1488&lt;'112'!$N$8,$M1488='112'!$I$6)),"x",""))</f>
        <v/>
      </c>
      <c r="U1488" s="55" t="str">
        <f>IF(AND('3411-CT'!$F$9=H1488,OR(LEFT(L1488,3)=$U$7,LEFT(M1488,3)=$U$7)),"x","")</f>
        <v/>
      </c>
      <c r="V1488" s="55" t="str">
        <f>IF(OR(TH!L1488=TH!$V$7,M1488=TH!$V$7),"x","")</f>
        <v/>
      </c>
      <c r="W1488" s="55" t="str">
        <f>IF(AND(OR(L1488="131",M1488="131"),H1488='131-CT'!$E$7),"x","")</f>
        <v/>
      </c>
      <c r="X1488" s="55" t="str">
        <f>IF(AND(B1488&gt;='IN-NX'!$P$3,B1488&lt;='IN-NX'!$Q$3,'IN-NX'!$D$7=D1488,OR(LEFT(TH!L1488,2)="15",LEFT(TH!M1488,2)="15")),"x","")</f>
        <v/>
      </c>
      <c r="Y1488" s="55" t="str">
        <f>IF(AND(OR(LEFT(TH!L1488,2)="15",LEFT(TH!M1488,2)="15"),'152-CT'!$J$8=TH!F1488),"x","")</f>
        <v/>
      </c>
      <c r="Z1488" s="55" t="str">
        <f>IF(AND(OR(LEFT(TH!L1488,2)="15",LEFT(TH!M1488,2)="15"),TK!$E$7=TH!F1488),"x","")</f>
        <v/>
      </c>
      <c r="AA1488" s="55" t="str">
        <f>IF(AND(B1488&lt;=NKC!$N$8,B1488&gt;=NKC!$M$8),"x","")</f>
        <v/>
      </c>
    </row>
    <row r="1489" spans="1:27" ht="15.75" customHeight="1">
      <c r="A1489" s="219" t="str">
        <f>IF(B1489&lt;&gt;"",IF(AND(B1489&gt;=_TM1,B1489&lt;=_TM2,OR(TH!L1489="1111",TH!M1489="1111")),TH!D1489,""),"")</f>
        <v/>
      </c>
      <c r="B1489" s="36" t="str">
        <f t="shared" si="57"/>
        <v/>
      </c>
      <c r="C1489" s="37"/>
      <c r="D1489" s="37"/>
      <c r="E1489" s="37"/>
      <c r="F1489" s="40"/>
      <c r="G1489" s="580"/>
      <c r="H1489" s="45"/>
      <c r="I1489" s="277"/>
      <c r="J1489" s="277"/>
      <c r="K1489" s="38"/>
      <c r="L1489" s="39"/>
      <c r="M1489" s="39"/>
      <c r="N1489" s="55" t="str">
        <f>IF(AND('331-CT'!$E$7=TH!H1489,OR(L1489="331",M1489="331")),"x","")</f>
        <v/>
      </c>
      <c r="O1489" s="55" t="str">
        <f>IF(AND($B1489&gt;='111'!$N$11,$B1489&lt;='111'!$O$11,OR($L1489=$O$7,$M1489=$O$7)),"x","")</f>
        <v/>
      </c>
      <c r="P1489" s="55" t="str">
        <f>IF(AND($L1489=$O$7,$B1489&lt;'111'!$N$11),"x","")</f>
        <v/>
      </c>
      <c r="Q1489" s="55" t="str">
        <f>IF(AND($M1489=$O$7,$B1489&lt;'111'!$N$11),"x","")</f>
        <v/>
      </c>
      <c r="R1489" s="55" t="str">
        <f>IF(ISERROR(FIND('112'!$M$9,G1489,1)),"",IF((AND(FIND('112'!$M$9,G1489,1)&gt;=1,$B1489&gt;='112'!$N$8,$B1489&lt;='112'!$O$8,OR($L1489='112'!$I$6,$M1489='112'!$I$6))),"x",""))</f>
        <v/>
      </c>
      <c r="S1489" s="55" t="str">
        <f>IF(ISERROR(FIND('112'!$M$9,G1489,1)),"",IF((AND(LEFT(G1489,2)=LEFT('112'!$M$9,2),B1489&lt;'112'!$N$8,$L1489='112'!$I$6)),"x",""))</f>
        <v/>
      </c>
      <c r="T1489" s="55" t="str">
        <f>IF(ISERROR(FIND('112'!$M$9,G1489,1)),"",IF((AND(RIGHT(G1489,2)=RIGHT('112'!$M$9,2),B1489&lt;'112'!$N$8,$M1489='112'!$I$6)),"x",""))</f>
        <v/>
      </c>
      <c r="U1489" s="55" t="str">
        <f>IF(AND('3411-CT'!$F$9=H1489,OR(LEFT(L1489,3)=$U$7,LEFT(M1489,3)=$U$7)),"x","")</f>
        <v/>
      </c>
      <c r="V1489" s="55" t="str">
        <f>IF(OR(TH!L1489=TH!$V$7,M1489=TH!$V$7),"x","")</f>
        <v/>
      </c>
      <c r="W1489" s="55" t="str">
        <f>IF(AND(OR(L1489="131",M1489="131"),H1489='131-CT'!$E$7),"x","")</f>
        <v/>
      </c>
      <c r="X1489" s="55" t="str">
        <f>IF(AND(B1489&gt;='IN-NX'!$P$3,B1489&lt;='IN-NX'!$Q$3,'IN-NX'!$D$7=D1489,OR(LEFT(TH!L1489,2)="15",LEFT(TH!M1489,2)="15")),"x","")</f>
        <v/>
      </c>
      <c r="Y1489" s="55" t="str">
        <f>IF(AND(OR(LEFT(TH!L1489,2)="15",LEFT(TH!M1489,2)="15"),'152-CT'!$J$8=TH!F1489),"x","")</f>
        <v/>
      </c>
      <c r="Z1489" s="55" t="str">
        <f>IF(AND(OR(LEFT(TH!L1489,2)="15",LEFT(TH!M1489,2)="15"),TK!$E$7=TH!F1489),"x","")</f>
        <v/>
      </c>
      <c r="AA1489" s="55" t="str">
        <f>IF(AND(B1489&lt;=NKC!$N$8,B1489&gt;=NKC!$M$8),"x","")</f>
        <v/>
      </c>
    </row>
    <row r="1490" spans="1:27" ht="15.75" customHeight="1">
      <c r="A1490" s="219" t="str">
        <f>IF(B1490&lt;&gt;"",IF(AND(B1490&gt;=_TM1,B1490&lt;=_TM2,OR(TH!L1490="1111",TH!M1490="1111")),TH!D1490,""),"")</f>
        <v/>
      </c>
      <c r="B1490" s="36" t="str">
        <f t="shared" si="57"/>
        <v/>
      </c>
      <c r="C1490" s="37"/>
      <c r="D1490" s="37"/>
      <c r="E1490" s="37"/>
      <c r="F1490" s="40"/>
      <c r="G1490" s="40"/>
      <c r="H1490" s="45"/>
      <c r="I1490" s="277"/>
      <c r="J1490" s="277"/>
      <c r="K1490" s="38"/>
      <c r="L1490" s="39"/>
      <c r="M1490" s="39"/>
      <c r="N1490" s="55" t="str">
        <f>IF(AND('331-CT'!$E$7=TH!H1490,OR(L1490="331",M1490="331")),"x","")</f>
        <v/>
      </c>
      <c r="O1490" s="55" t="str">
        <f>IF(AND($B1490&gt;='111'!$N$11,$B1490&lt;='111'!$O$11,OR($L1490=$O$7,$M1490=$O$7)),"x","")</f>
        <v/>
      </c>
      <c r="P1490" s="55" t="str">
        <f>IF(AND($L1490=$O$7,$B1490&lt;'111'!$N$11),"x","")</f>
        <v/>
      </c>
      <c r="Q1490" s="55" t="str">
        <f>IF(AND($M1490=$O$7,$B1490&lt;'111'!$N$11),"x","")</f>
        <v/>
      </c>
      <c r="R1490" s="55" t="str">
        <f>IF(ISERROR(FIND('112'!$M$9,G1490,1)),"",IF((AND(FIND('112'!$M$9,G1490,1)&gt;=1,$B1490&gt;='112'!$N$8,$B1490&lt;='112'!$O$8,OR($L1490='112'!$I$6,$M1490='112'!$I$6))),"x",""))</f>
        <v/>
      </c>
      <c r="S1490" s="55" t="str">
        <f>IF(ISERROR(FIND('112'!$M$9,G1490,1)),"",IF((AND(LEFT(G1490,2)=LEFT('112'!$M$9,2),B1490&lt;'112'!$N$8,$L1490='112'!$I$6)),"x",""))</f>
        <v/>
      </c>
      <c r="T1490" s="55" t="str">
        <f>IF(ISERROR(FIND('112'!$M$9,G1490,1)),"",IF((AND(RIGHT(G1490,2)=RIGHT('112'!$M$9,2),B1490&lt;'112'!$N$8,$M1490='112'!$I$6)),"x",""))</f>
        <v/>
      </c>
      <c r="U1490" s="55" t="str">
        <f>IF(AND('3411-CT'!$F$9=H1490,OR(LEFT(L1490,3)=$U$7,LEFT(M1490,3)=$U$7)),"x","")</f>
        <v/>
      </c>
      <c r="V1490" s="55" t="str">
        <f>IF(OR(TH!L1490=TH!$V$7,M1490=TH!$V$7),"x","")</f>
        <v/>
      </c>
      <c r="W1490" s="55" t="str">
        <f>IF(AND(OR(L1490="131",M1490="131"),H1490='131-CT'!$E$7),"x","")</f>
        <v/>
      </c>
      <c r="X1490" s="55" t="str">
        <f>IF(AND(B1490&gt;='IN-NX'!$P$3,B1490&lt;='IN-NX'!$Q$3,'IN-NX'!$D$7=D1490,OR(LEFT(TH!L1490,2)="15",LEFT(TH!M1490,2)="15")),"x","")</f>
        <v/>
      </c>
      <c r="Y1490" s="55" t="str">
        <f>IF(AND(OR(LEFT(TH!L1490,2)="15",LEFT(TH!M1490,2)="15"),'152-CT'!$J$8=TH!F1490),"x","")</f>
        <v/>
      </c>
      <c r="Z1490" s="55" t="str">
        <f>IF(AND(OR(LEFT(TH!L1490,2)="15",LEFT(TH!M1490,2)="15"),TK!$E$7=TH!F1490),"x","")</f>
        <v/>
      </c>
      <c r="AA1490" s="55" t="str">
        <f>IF(AND(B1490&lt;=NKC!$N$8,B1490&gt;=NKC!$M$8),"x","")</f>
        <v/>
      </c>
    </row>
    <row r="1491" spans="1:27" ht="15.75" customHeight="1">
      <c r="A1491" s="219" t="str">
        <f>IF(B1491&lt;&gt;"",IF(AND(B1491&gt;=_TM1,B1491&lt;=_TM2,OR(TH!L1491="1111",TH!M1491="1111")),TH!D1491,""),"")</f>
        <v/>
      </c>
      <c r="B1491" s="36" t="str">
        <f t="shared" si="57"/>
        <v/>
      </c>
      <c r="C1491" s="37"/>
      <c r="D1491" s="37"/>
      <c r="E1491" s="37"/>
      <c r="F1491" s="40"/>
      <c r="G1491" s="40"/>
      <c r="H1491" s="45"/>
      <c r="I1491" s="277"/>
      <c r="J1491" s="277"/>
      <c r="K1491" s="38"/>
      <c r="L1491" s="39"/>
      <c r="M1491" s="39"/>
      <c r="N1491" s="55" t="str">
        <f>IF(AND('331-CT'!$E$7=TH!H1491,OR(L1491="331",M1491="331")),"x","")</f>
        <v/>
      </c>
      <c r="O1491" s="55" t="str">
        <f>IF(AND($B1491&gt;='111'!$N$11,$B1491&lt;='111'!$O$11,OR($L1491=$O$7,$M1491=$O$7)),"x","")</f>
        <v/>
      </c>
      <c r="P1491" s="55" t="str">
        <f>IF(AND($L1491=$O$7,$B1491&lt;'111'!$N$11),"x","")</f>
        <v/>
      </c>
      <c r="Q1491" s="55" t="str">
        <f>IF(AND($M1491=$O$7,$B1491&lt;'111'!$N$11),"x","")</f>
        <v/>
      </c>
      <c r="R1491" s="55" t="str">
        <f>IF(ISERROR(FIND('112'!$M$9,G1491,1)),"",IF((AND(FIND('112'!$M$9,G1491,1)&gt;=1,$B1491&gt;='112'!$N$8,$B1491&lt;='112'!$O$8,OR($L1491='112'!$I$6,$M1491='112'!$I$6))),"x",""))</f>
        <v/>
      </c>
      <c r="S1491" s="55" t="str">
        <f>IF(ISERROR(FIND('112'!$M$9,G1491,1)),"",IF((AND(LEFT(G1491,2)=LEFT('112'!$M$9,2),B1491&lt;'112'!$N$8,$L1491='112'!$I$6)),"x",""))</f>
        <v/>
      </c>
      <c r="T1491" s="55" t="str">
        <f>IF(ISERROR(FIND('112'!$M$9,G1491,1)),"",IF((AND(RIGHT(G1491,2)=RIGHT('112'!$M$9,2),B1491&lt;'112'!$N$8,$M1491='112'!$I$6)),"x",""))</f>
        <v/>
      </c>
      <c r="U1491" s="55" t="str">
        <f>IF(AND('3411-CT'!$F$9=H1491,OR(LEFT(L1491,3)=$U$7,LEFT(M1491,3)=$U$7)),"x","")</f>
        <v/>
      </c>
      <c r="V1491" s="55" t="str">
        <f>IF(OR(TH!L1491=TH!$V$7,M1491=TH!$V$7),"x","")</f>
        <v/>
      </c>
      <c r="W1491" s="55" t="str">
        <f>IF(AND(OR(L1491="131",M1491="131"),H1491='131-CT'!$E$7),"x","")</f>
        <v/>
      </c>
      <c r="X1491" s="55" t="str">
        <f>IF(AND(B1491&gt;='IN-NX'!$P$3,B1491&lt;='IN-NX'!$Q$3,'IN-NX'!$D$7=D1491,OR(LEFT(TH!L1491,2)="15",LEFT(TH!M1491,2)="15")),"x","")</f>
        <v/>
      </c>
      <c r="Y1491" s="55" t="str">
        <f>IF(AND(OR(LEFT(TH!L1491,2)="15",LEFT(TH!M1491,2)="15"),'152-CT'!$J$8=TH!F1491),"x","")</f>
        <v/>
      </c>
      <c r="Z1491" s="55" t="str">
        <f>IF(AND(OR(LEFT(TH!L1491,2)="15",LEFT(TH!M1491,2)="15"),TK!$E$7=TH!F1491),"x","")</f>
        <v/>
      </c>
      <c r="AA1491" s="55" t="str">
        <f>IF(AND(B1491&lt;=NKC!$N$8,B1491&gt;=NKC!$M$8),"x","")</f>
        <v/>
      </c>
    </row>
    <row r="1492" spans="1:27" ht="15.75" customHeight="1">
      <c r="A1492" s="219" t="str">
        <f>IF(B1492&lt;&gt;"",IF(AND(B1492&gt;=_TM1,B1492&lt;=_TM2,OR(TH!L1492="1111",TH!M1492="1111")),TH!D1492,""),"")</f>
        <v/>
      </c>
      <c r="B1492" s="36" t="str">
        <f t="shared" si="57"/>
        <v/>
      </c>
      <c r="C1492" s="37"/>
      <c r="D1492" s="37"/>
      <c r="E1492" s="37"/>
      <c r="F1492" s="40"/>
      <c r="G1492" s="40"/>
      <c r="H1492" s="45"/>
      <c r="I1492" s="277"/>
      <c r="J1492" s="277"/>
      <c r="K1492" s="38"/>
      <c r="L1492" s="39"/>
      <c r="M1492" s="39"/>
      <c r="N1492" s="55" t="str">
        <f>IF(AND('331-CT'!$E$7=TH!H1492,OR(L1492="331",M1492="331")),"x","")</f>
        <v/>
      </c>
      <c r="O1492" s="55" t="str">
        <f>IF(AND($B1492&gt;='111'!$N$11,$B1492&lt;='111'!$O$11,OR($L1492=$O$7,$M1492=$O$7)),"x","")</f>
        <v/>
      </c>
      <c r="P1492" s="55" t="str">
        <f>IF(AND($L1492=$O$7,$B1492&lt;'111'!$N$11),"x","")</f>
        <v/>
      </c>
      <c r="Q1492" s="55" t="str">
        <f>IF(AND($M1492=$O$7,$B1492&lt;'111'!$N$11),"x","")</f>
        <v/>
      </c>
      <c r="R1492" s="55" t="str">
        <f>IF(ISERROR(FIND('112'!$M$9,G1492,1)),"",IF((AND(FIND('112'!$M$9,G1492,1)&gt;=1,$B1492&gt;='112'!$N$8,$B1492&lt;='112'!$O$8,OR($L1492='112'!$I$6,$M1492='112'!$I$6))),"x",""))</f>
        <v/>
      </c>
      <c r="S1492" s="55" t="str">
        <f>IF(ISERROR(FIND('112'!$M$9,G1492,1)),"",IF((AND(LEFT(G1492,2)=LEFT('112'!$M$9,2),B1492&lt;'112'!$N$8,$L1492='112'!$I$6)),"x",""))</f>
        <v/>
      </c>
      <c r="T1492" s="55" t="str">
        <f>IF(ISERROR(FIND('112'!$M$9,G1492,1)),"",IF((AND(RIGHT(G1492,2)=RIGHT('112'!$M$9,2),B1492&lt;'112'!$N$8,$M1492='112'!$I$6)),"x",""))</f>
        <v/>
      </c>
      <c r="U1492" s="55" t="str">
        <f>IF(AND('3411-CT'!$F$9=H1492,OR(LEFT(L1492,3)=$U$7,LEFT(M1492,3)=$U$7)),"x","")</f>
        <v/>
      </c>
      <c r="V1492" s="55" t="str">
        <f>IF(OR(TH!L1492=TH!$V$7,M1492=TH!$V$7),"x","")</f>
        <v/>
      </c>
      <c r="W1492" s="55" t="str">
        <f>IF(AND(OR(L1492="131",M1492="131"),H1492='131-CT'!$E$7),"x","")</f>
        <v/>
      </c>
      <c r="X1492" s="55" t="str">
        <f>IF(AND(B1492&gt;='IN-NX'!$P$3,B1492&lt;='IN-NX'!$Q$3,'IN-NX'!$D$7=D1492,OR(LEFT(TH!L1492,2)="15",LEFT(TH!M1492,2)="15")),"x","")</f>
        <v/>
      </c>
      <c r="Y1492" s="55" t="str">
        <f>IF(AND(OR(LEFT(TH!L1492,2)="15",LEFT(TH!M1492,2)="15"),'152-CT'!$J$8=TH!F1492),"x","")</f>
        <v/>
      </c>
      <c r="Z1492" s="55" t="str">
        <f>IF(AND(OR(LEFT(TH!L1492,2)="15",LEFT(TH!M1492,2)="15"),TK!$E$7=TH!F1492),"x","")</f>
        <v/>
      </c>
      <c r="AA1492" s="55" t="str">
        <f>IF(AND(B1492&lt;=NKC!$N$8,B1492&gt;=NKC!$M$8),"x","")</f>
        <v/>
      </c>
    </row>
    <row r="1493" spans="1:27" ht="15.75" customHeight="1">
      <c r="A1493" s="219" t="str">
        <f>IF(B1493&lt;&gt;"",IF(AND(B1493&gt;=_TM1,B1493&lt;=_TM2,OR(TH!L1493="1111",TH!M1493="1111")),TH!D1493,""),"")</f>
        <v/>
      </c>
      <c r="B1493" s="36" t="str">
        <f t="shared" si="57"/>
        <v/>
      </c>
      <c r="C1493" s="37"/>
      <c r="D1493" s="37"/>
      <c r="E1493" s="37"/>
      <c r="F1493" s="40"/>
      <c r="G1493" s="40"/>
      <c r="H1493" s="45"/>
      <c r="I1493" s="277"/>
      <c r="J1493" s="277"/>
      <c r="K1493" s="38"/>
      <c r="L1493" s="39"/>
      <c r="M1493" s="39"/>
      <c r="N1493" s="55" t="str">
        <f>IF(AND('331-CT'!$E$7=TH!H1493,OR(L1493="331",M1493="331")),"x","")</f>
        <v/>
      </c>
      <c r="O1493" s="55" t="str">
        <f>IF(AND($B1493&gt;='111'!$N$11,$B1493&lt;='111'!$O$11,OR($L1493=$O$7,$M1493=$O$7)),"x","")</f>
        <v/>
      </c>
      <c r="P1493" s="55" t="str">
        <f>IF(AND($L1493=$O$7,$B1493&lt;'111'!$N$11),"x","")</f>
        <v/>
      </c>
      <c r="Q1493" s="55" t="str">
        <f>IF(AND($M1493=$O$7,$B1493&lt;'111'!$N$11),"x","")</f>
        <v/>
      </c>
      <c r="R1493" s="55" t="str">
        <f>IF(ISERROR(FIND('112'!$M$9,G1493,1)),"",IF((AND(FIND('112'!$M$9,G1493,1)&gt;=1,$B1493&gt;='112'!$N$8,$B1493&lt;='112'!$O$8,OR($L1493='112'!$I$6,$M1493='112'!$I$6))),"x",""))</f>
        <v/>
      </c>
      <c r="S1493" s="55" t="str">
        <f>IF(ISERROR(FIND('112'!$M$9,G1493,1)),"",IF((AND(LEFT(G1493,2)=LEFT('112'!$M$9,2),B1493&lt;'112'!$N$8,$L1493='112'!$I$6)),"x",""))</f>
        <v/>
      </c>
      <c r="T1493" s="55" t="str">
        <f>IF(ISERROR(FIND('112'!$M$9,G1493,1)),"",IF((AND(RIGHT(G1493,2)=RIGHT('112'!$M$9,2),B1493&lt;'112'!$N$8,$M1493='112'!$I$6)),"x",""))</f>
        <v/>
      </c>
      <c r="U1493" s="55" t="str">
        <f>IF(AND('3411-CT'!$F$9=H1493,OR(LEFT(L1493,3)=$U$7,LEFT(M1493,3)=$U$7)),"x","")</f>
        <v/>
      </c>
      <c r="V1493" s="55" t="str">
        <f>IF(OR(TH!L1493=TH!$V$7,M1493=TH!$V$7),"x","")</f>
        <v/>
      </c>
      <c r="W1493" s="55" t="str">
        <f>IF(AND(OR(L1493="131",M1493="131"),H1493='131-CT'!$E$7),"x","")</f>
        <v/>
      </c>
      <c r="X1493" s="55" t="str">
        <f>IF(AND(B1493&gt;='IN-NX'!$P$3,B1493&lt;='IN-NX'!$Q$3,'IN-NX'!$D$7=D1493,OR(LEFT(TH!L1493,2)="15",LEFT(TH!M1493,2)="15")),"x","")</f>
        <v/>
      </c>
      <c r="Y1493" s="55" t="str">
        <f>IF(AND(OR(LEFT(TH!L1493,2)="15",LEFT(TH!M1493,2)="15"),'152-CT'!$J$8=TH!F1493),"x","")</f>
        <v/>
      </c>
      <c r="Z1493" s="55" t="str">
        <f>IF(AND(OR(LEFT(TH!L1493,2)="15",LEFT(TH!M1493,2)="15"),TK!$E$7=TH!F1493),"x","")</f>
        <v/>
      </c>
      <c r="AA1493" s="55" t="str">
        <f>IF(AND(B1493&lt;=NKC!$N$8,B1493&gt;=NKC!$M$8),"x","")</f>
        <v/>
      </c>
    </row>
    <row r="1494" spans="1:27" ht="15.75" customHeight="1">
      <c r="A1494" s="219" t="str">
        <f>IF(B1494&lt;&gt;"",IF(AND(B1494&gt;=_TM1,B1494&lt;=_TM2,OR(TH!L1494="1111",TH!M1494="1111")),TH!D1494,""),"")</f>
        <v/>
      </c>
      <c r="B1494" s="36" t="str">
        <f t="shared" si="57"/>
        <v/>
      </c>
      <c r="C1494" s="37"/>
      <c r="D1494" s="37"/>
      <c r="E1494" s="37"/>
      <c r="F1494" s="40"/>
      <c r="G1494" s="40"/>
      <c r="H1494" s="45"/>
      <c r="I1494" s="277"/>
      <c r="J1494" s="277"/>
      <c r="K1494" s="38"/>
      <c r="L1494" s="39"/>
      <c r="M1494" s="39"/>
      <c r="N1494" s="55" t="str">
        <f>IF(AND('331-CT'!$E$7=TH!H1494,OR(L1494="331",M1494="331")),"x","")</f>
        <v/>
      </c>
      <c r="O1494" s="55" t="str">
        <f>IF(AND($B1494&gt;='111'!$N$11,$B1494&lt;='111'!$O$11,OR($L1494=$O$7,$M1494=$O$7)),"x","")</f>
        <v/>
      </c>
      <c r="P1494" s="55" t="str">
        <f>IF(AND($L1494=$O$7,$B1494&lt;'111'!$N$11),"x","")</f>
        <v/>
      </c>
      <c r="Q1494" s="55" t="str">
        <f>IF(AND($M1494=$O$7,$B1494&lt;'111'!$N$11),"x","")</f>
        <v/>
      </c>
      <c r="R1494" s="55" t="str">
        <f>IF(ISERROR(FIND('112'!$M$9,G1494,1)),"",IF((AND(FIND('112'!$M$9,G1494,1)&gt;=1,$B1494&gt;='112'!$N$8,$B1494&lt;='112'!$O$8,OR($L1494='112'!$I$6,$M1494='112'!$I$6))),"x",""))</f>
        <v/>
      </c>
      <c r="S1494" s="55" t="str">
        <f>IF(ISERROR(FIND('112'!$M$9,G1494,1)),"",IF((AND(LEFT(G1494,2)=LEFT('112'!$M$9,2),B1494&lt;'112'!$N$8,$L1494='112'!$I$6)),"x",""))</f>
        <v/>
      </c>
      <c r="T1494" s="55" t="str">
        <f>IF(ISERROR(FIND('112'!$M$9,G1494,1)),"",IF((AND(RIGHT(G1494,2)=RIGHT('112'!$M$9,2),B1494&lt;'112'!$N$8,$M1494='112'!$I$6)),"x",""))</f>
        <v/>
      </c>
      <c r="U1494" s="55" t="str">
        <f>IF(AND('3411-CT'!$F$9=H1494,OR(LEFT(L1494,3)=$U$7,LEFT(M1494,3)=$U$7)),"x","")</f>
        <v/>
      </c>
      <c r="V1494" s="55" t="str">
        <f>IF(OR(TH!L1494=TH!$V$7,M1494=TH!$V$7),"x","")</f>
        <v/>
      </c>
      <c r="W1494" s="55" t="str">
        <f>IF(AND(OR(L1494="131",M1494="131"),H1494='131-CT'!$E$7),"x","")</f>
        <v/>
      </c>
      <c r="X1494" s="55" t="str">
        <f>IF(AND(B1494&gt;='IN-NX'!$P$3,B1494&lt;='IN-NX'!$Q$3,'IN-NX'!$D$7=D1494,OR(LEFT(TH!L1494,2)="15",LEFT(TH!M1494,2)="15")),"x","")</f>
        <v/>
      </c>
      <c r="Y1494" s="55" t="str">
        <f>IF(AND(OR(LEFT(TH!L1494,2)="15",LEFT(TH!M1494,2)="15"),'152-CT'!$J$8=TH!F1494),"x","")</f>
        <v/>
      </c>
      <c r="Z1494" s="55" t="str">
        <f>IF(AND(OR(LEFT(TH!L1494,2)="15",LEFT(TH!M1494,2)="15"),TK!$E$7=TH!F1494),"x","")</f>
        <v/>
      </c>
      <c r="AA1494" s="55" t="str">
        <f>IF(AND(B1494&lt;=NKC!$N$8,B1494&gt;=NKC!$M$8),"x","")</f>
        <v/>
      </c>
    </row>
    <row r="1495" spans="1:27" ht="15.75" customHeight="1">
      <c r="A1495" s="219" t="str">
        <f>IF(B1495&lt;&gt;"",IF(AND(B1495&gt;=_TM1,B1495&lt;=_TM2,OR(TH!L1495="1111",TH!M1495="1111")),TH!D1495,""),"")</f>
        <v/>
      </c>
      <c r="B1495" s="36" t="str">
        <f t="shared" si="57"/>
        <v/>
      </c>
      <c r="C1495" s="37"/>
      <c r="D1495" s="37"/>
      <c r="E1495" s="37"/>
      <c r="F1495" s="40"/>
      <c r="G1495" s="40"/>
      <c r="H1495" s="45"/>
      <c r="I1495" s="277"/>
      <c r="J1495" s="277"/>
      <c r="K1495" s="38"/>
      <c r="L1495" s="39"/>
      <c r="M1495" s="39"/>
      <c r="N1495" s="55" t="str">
        <f>IF(AND('331-CT'!$E$7=TH!H1495,OR(L1495="331",M1495="331")),"x","")</f>
        <v/>
      </c>
      <c r="O1495" s="55" t="str">
        <f>IF(AND($B1495&gt;='111'!$N$11,$B1495&lt;='111'!$O$11,OR($L1495=$O$7,$M1495=$O$7)),"x","")</f>
        <v/>
      </c>
      <c r="P1495" s="55" t="str">
        <f>IF(AND($L1495=$O$7,$B1495&lt;'111'!$N$11),"x","")</f>
        <v/>
      </c>
      <c r="Q1495" s="55" t="str">
        <f>IF(AND($M1495=$O$7,$B1495&lt;'111'!$N$11),"x","")</f>
        <v/>
      </c>
      <c r="R1495" s="55" t="str">
        <f>IF(ISERROR(FIND('112'!$M$9,G1495,1)),"",IF((AND(FIND('112'!$M$9,G1495,1)&gt;=1,$B1495&gt;='112'!$N$8,$B1495&lt;='112'!$O$8,OR($L1495='112'!$I$6,$M1495='112'!$I$6))),"x",""))</f>
        <v/>
      </c>
      <c r="S1495" s="55" t="str">
        <f>IF(ISERROR(FIND('112'!$M$9,G1495,1)),"",IF((AND(LEFT(G1495,2)=LEFT('112'!$M$9,2),B1495&lt;'112'!$N$8,$L1495='112'!$I$6)),"x",""))</f>
        <v/>
      </c>
      <c r="T1495" s="55" t="str">
        <f>IF(ISERROR(FIND('112'!$M$9,G1495,1)),"",IF((AND(RIGHT(G1495,2)=RIGHT('112'!$M$9,2),B1495&lt;'112'!$N$8,$M1495='112'!$I$6)),"x",""))</f>
        <v/>
      </c>
      <c r="U1495" s="55" t="str">
        <f>IF(AND('3411-CT'!$F$9=H1495,OR(LEFT(L1495,3)=$U$7,LEFT(M1495,3)=$U$7)),"x","")</f>
        <v/>
      </c>
      <c r="V1495" s="55" t="str">
        <f>IF(OR(TH!L1495=TH!$V$7,M1495=TH!$V$7),"x","")</f>
        <v/>
      </c>
      <c r="W1495" s="55" t="str">
        <f>IF(AND(OR(L1495="131",M1495="131"),H1495='131-CT'!$E$7),"x","")</f>
        <v/>
      </c>
      <c r="X1495" s="55" t="str">
        <f>IF(AND(B1495&gt;='IN-NX'!$P$3,B1495&lt;='IN-NX'!$Q$3,'IN-NX'!$D$7=D1495,OR(LEFT(TH!L1495,2)="15",LEFT(TH!M1495,2)="15")),"x","")</f>
        <v/>
      </c>
      <c r="Y1495" s="55" t="str">
        <f>IF(AND(OR(LEFT(TH!L1495,2)="15",LEFT(TH!M1495,2)="15"),'152-CT'!$J$8=TH!F1495),"x","")</f>
        <v/>
      </c>
      <c r="Z1495" s="55" t="str">
        <f>IF(AND(OR(LEFT(TH!L1495,2)="15",LEFT(TH!M1495,2)="15"),TK!$E$7=TH!F1495),"x","")</f>
        <v/>
      </c>
      <c r="AA1495" s="55" t="str">
        <f>IF(AND(B1495&lt;=NKC!$N$8,B1495&gt;=NKC!$M$8),"x","")</f>
        <v/>
      </c>
    </row>
    <row r="1496" spans="1:27" ht="15.75" customHeight="1">
      <c r="A1496" s="219" t="str">
        <f>IF(B1496&lt;&gt;"",IF(AND(B1496&gt;=_TM1,B1496&lt;=_TM2,OR(TH!L1496="1111",TH!M1496="1111")),TH!D1496,""),"")</f>
        <v/>
      </c>
      <c r="B1496" s="36" t="str">
        <f t="shared" si="57"/>
        <v/>
      </c>
      <c r="C1496" s="37"/>
      <c r="D1496" s="37"/>
      <c r="E1496" s="37"/>
      <c r="F1496" s="40"/>
      <c r="G1496" s="40"/>
      <c r="H1496" s="45"/>
      <c r="I1496" s="277"/>
      <c r="J1496" s="277"/>
      <c r="K1496" s="38"/>
      <c r="L1496" s="39"/>
      <c r="M1496" s="39"/>
      <c r="N1496" s="55" t="str">
        <f>IF(AND('331-CT'!$E$7=TH!H1496,OR(L1496="331",M1496="331")),"x","")</f>
        <v/>
      </c>
      <c r="O1496" s="55" t="str">
        <f>IF(AND($B1496&gt;='111'!$N$11,$B1496&lt;='111'!$O$11,OR($L1496=$O$7,$M1496=$O$7)),"x","")</f>
        <v/>
      </c>
      <c r="P1496" s="55" t="str">
        <f>IF(AND($L1496=$O$7,$B1496&lt;'111'!$N$11),"x","")</f>
        <v/>
      </c>
      <c r="Q1496" s="55" t="str">
        <f>IF(AND($M1496=$O$7,$B1496&lt;'111'!$N$11),"x","")</f>
        <v/>
      </c>
      <c r="R1496" s="55" t="str">
        <f>IF(ISERROR(FIND('112'!$M$9,G1496,1)),"",IF((AND(FIND('112'!$M$9,G1496,1)&gt;=1,$B1496&gt;='112'!$N$8,$B1496&lt;='112'!$O$8,OR($L1496='112'!$I$6,$M1496='112'!$I$6))),"x",""))</f>
        <v/>
      </c>
      <c r="S1496" s="55" t="str">
        <f>IF(ISERROR(FIND('112'!$M$9,G1496,1)),"",IF((AND(LEFT(G1496,2)=LEFT('112'!$M$9,2),B1496&lt;'112'!$N$8,$L1496='112'!$I$6)),"x",""))</f>
        <v/>
      </c>
      <c r="T1496" s="55" t="str">
        <f>IF(ISERROR(FIND('112'!$M$9,G1496,1)),"",IF((AND(RIGHT(G1496,2)=RIGHT('112'!$M$9,2),B1496&lt;'112'!$N$8,$M1496='112'!$I$6)),"x",""))</f>
        <v/>
      </c>
      <c r="U1496" s="55" t="str">
        <f>IF(AND('3411-CT'!$F$9=H1496,OR(LEFT(L1496,3)=$U$7,LEFT(M1496,3)=$U$7)),"x","")</f>
        <v/>
      </c>
      <c r="V1496" s="55" t="str">
        <f>IF(OR(TH!L1496=TH!$V$7,M1496=TH!$V$7),"x","")</f>
        <v/>
      </c>
      <c r="W1496" s="55" t="str">
        <f>IF(AND(OR(L1496="131",M1496="131"),H1496='131-CT'!$E$7),"x","")</f>
        <v/>
      </c>
      <c r="X1496" s="55" t="str">
        <f>IF(AND(B1496&gt;='IN-NX'!$P$3,B1496&lt;='IN-NX'!$Q$3,'IN-NX'!$D$7=D1496,OR(LEFT(TH!L1496,2)="15",LEFT(TH!M1496,2)="15")),"x","")</f>
        <v/>
      </c>
      <c r="Y1496" s="55" t="str">
        <f>IF(AND(OR(LEFT(TH!L1496,2)="15",LEFT(TH!M1496,2)="15"),'152-CT'!$J$8=TH!F1496),"x","")</f>
        <v/>
      </c>
      <c r="Z1496" s="55" t="str">
        <f>IF(AND(OR(LEFT(TH!L1496,2)="15",LEFT(TH!M1496,2)="15"),TK!$E$7=TH!F1496),"x","")</f>
        <v/>
      </c>
      <c r="AA1496" s="55" t="str">
        <f>IF(AND(B1496&lt;=NKC!$N$8,B1496&gt;=NKC!$M$8),"x","")</f>
        <v/>
      </c>
    </row>
    <row r="1497" spans="1:27" ht="15.75" customHeight="1">
      <c r="A1497" s="219" t="str">
        <f>IF(B1497&lt;&gt;"",IF(AND(B1497&gt;=_TM1,B1497&lt;=_TM2,OR(TH!L1497="1111",TH!M1497="1111")),TH!D1497,""),"")</f>
        <v/>
      </c>
      <c r="B1497" s="36" t="str">
        <f t="shared" si="57"/>
        <v/>
      </c>
      <c r="C1497" s="37"/>
      <c r="D1497" s="37"/>
      <c r="E1497" s="37"/>
      <c r="F1497" s="40"/>
      <c r="G1497" s="40"/>
      <c r="H1497" s="45"/>
      <c r="I1497" s="277"/>
      <c r="J1497" s="277"/>
      <c r="K1497" s="38"/>
      <c r="L1497" s="39"/>
      <c r="M1497" s="39"/>
      <c r="N1497" s="55" t="str">
        <f>IF(AND('331-CT'!$E$7=TH!H1497,OR(L1497="331",M1497="331")),"x","")</f>
        <v/>
      </c>
      <c r="O1497" s="55" t="str">
        <f>IF(AND($B1497&gt;='111'!$N$11,$B1497&lt;='111'!$O$11,OR($L1497=$O$7,$M1497=$O$7)),"x","")</f>
        <v/>
      </c>
      <c r="P1497" s="55" t="str">
        <f>IF(AND($L1497=$O$7,$B1497&lt;'111'!$N$11),"x","")</f>
        <v/>
      </c>
      <c r="Q1497" s="55" t="str">
        <f>IF(AND($M1497=$O$7,$B1497&lt;'111'!$N$11),"x","")</f>
        <v/>
      </c>
      <c r="R1497" s="55" t="str">
        <f>IF(ISERROR(FIND('112'!$M$9,G1497,1)),"",IF((AND(FIND('112'!$M$9,G1497,1)&gt;=1,$B1497&gt;='112'!$N$8,$B1497&lt;='112'!$O$8,OR($L1497='112'!$I$6,$M1497='112'!$I$6))),"x",""))</f>
        <v/>
      </c>
      <c r="S1497" s="55" t="str">
        <f>IF(ISERROR(FIND('112'!$M$9,G1497,1)),"",IF((AND(LEFT(G1497,2)=LEFT('112'!$M$9,2),B1497&lt;'112'!$N$8,$L1497='112'!$I$6)),"x",""))</f>
        <v/>
      </c>
      <c r="T1497" s="55" t="str">
        <f>IF(ISERROR(FIND('112'!$M$9,G1497,1)),"",IF((AND(RIGHT(G1497,2)=RIGHT('112'!$M$9,2),B1497&lt;'112'!$N$8,$M1497='112'!$I$6)),"x",""))</f>
        <v/>
      </c>
      <c r="U1497" s="55" t="str">
        <f>IF(AND('3411-CT'!$F$9=H1497,OR(LEFT(L1497,3)=$U$7,LEFT(M1497,3)=$U$7)),"x","")</f>
        <v/>
      </c>
      <c r="V1497" s="55" t="str">
        <f>IF(OR(TH!L1497=TH!$V$7,M1497=TH!$V$7),"x","")</f>
        <v/>
      </c>
      <c r="W1497" s="55" t="str">
        <f>IF(AND(OR(L1497="131",M1497="131"),H1497='131-CT'!$E$7),"x","")</f>
        <v/>
      </c>
      <c r="X1497" s="55" t="str">
        <f>IF(AND(B1497&gt;='IN-NX'!$P$3,B1497&lt;='IN-NX'!$Q$3,'IN-NX'!$D$7=D1497,OR(LEFT(TH!L1497,2)="15",LEFT(TH!M1497,2)="15")),"x","")</f>
        <v/>
      </c>
      <c r="Y1497" s="55" t="str">
        <f>IF(AND(OR(LEFT(TH!L1497,2)="15",LEFT(TH!M1497,2)="15"),'152-CT'!$J$8=TH!F1497),"x","")</f>
        <v/>
      </c>
      <c r="Z1497" s="55" t="str">
        <f>IF(AND(OR(LEFT(TH!L1497,2)="15",LEFT(TH!M1497,2)="15"),TK!$E$7=TH!F1497),"x","")</f>
        <v/>
      </c>
      <c r="AA1497" s="55" t="str">
        <f>IF(AND(B1497&lt;=NKC!$N$8,B1497&gt;=NKC!$M$8),"x","")</f>
        <v/>
      </c>
    </row>
    <row r="1498" spans="1:27" ht="15.75" customHeight="1">
      <c r="A1498" s="219" t="str">
        <f>IF(B1498&lt;&gt;"",IF(AND(B1498&gt;=_TM1,B1498&lt;=_TM2,OR(TH!L1498="1111",TH!M1498="1111")),TH!D1498,""),"")</f>
        <v/>
      </c>
      <c r="B1498" s="36" t="str">
        <f t="shared" si="57"/>
        <v/>
      </c>
      <c r="C1498" s="37"/>
      <c r="D1498" s="37"/>
      <c r="E1498" s="37"/>
      <c r="F1498" s="40"/>
      <c r="G1498" s="40"/>
      <c r="H1498" s="45"/>
      <c r="I1498" s="277"/>
      <c r="J1498" s="277"/>
      <c r="K1498" s="38"/>
      <c r="L1498" s="39"/>
      <c r="M1498" s="39"/>
      <c r="N1498" s="55" t="str">
        <f>IF(AND('331-CT'!$E$7=TH!H1498,OR(L1498="331",M1498="331")),"x","")</f>
        <v/>
      </c>
      <c r="O1498" s="55" t="str">
        <f>IF(AND($B1498&gt;='111'!$N$11,$B1498&lt;='111'!$O$11,OR($L1498=$O$7,$M1498=$O$7)),"x","")</f>
        <v/>
      </c>
      <c r="P1498" s="55" t="str">
        <f>IF(AND($L1498=$O$7,$B1498&lt;'111'!$N$11),"x","")</f>
        <v/>
      </c>
      <c r="Q1498" s="55" t="str">
        <f>IF(AND($M1498=$O$7,$B1498&lt;'111'!$N$11),"x","")</f>
        <v/>
      </c>
      <c r="R1498" s="55" t="str">
        <f>IF(ISERROR(FIND('112'!$M$9,G1498,1)),"",IF((AND(FIND('112'!$M$9,G1498,1)&gt;=1,$B1498&gt;='112'!$N$8,$B1498&lt;='112'!$O$8,OR($L1498='112'!$I$6,$M1498='112'!$I$6))),"x",""))</f>
        <v/>
      </c>
      <c r="S1498" s="55" t="str">
        <f>IF(ISERROR(FIND('112'!$M$9,G1498,1)),"",IF((AND(LEFT(G1498,2)=LEFT('112'!$M$9,2),B1498&lt;'112'!$N$8,$L1498='112'!$I$6)),"x",""))</f>
        <v/>
      </c>
      <c r="T1498" s="55" t="str">
        <f>IF(ISERROR(FIND('112'!$M$9,G1498,1)),"",IF((AND(RIGHT(G1498,2)=RIGHT('112'!$M$9,2),B1498&lt;'112'!$N$8,$M1498='112'!$I$6)),"x",""))</f>
        <v/>
      </c>
      <c r="U1498" s="55" t="str">
        <f>IF(AND('3411-CT'!$F$9=H1498,OR(LEFT(L1498,3)=$U$7,LEFT(M1498,3)=$U$7)),"x","")</f>
        <v/>
      </c>
      <c r="V1498" s="55" t="str">
        <f>IF(OR(TH!L1498=TH!$V$7,M1498=TH!$V$7),"x","")</f>
        <v/>
      </c>
      <c r="W1498" s="55" t="str">
        <f>IF(AND(OR(L1498="131",M1498="131"),H1498='131-CT'!$E$7),"x","")</f>
        <v/>
      </c>
      <c r="X1498" s="55" t="str">
        <f>IF(AND(B1498&gt;='IN-NX'!$P$3,B1498&lt;='IN-NX'!$Q$3,'IN-NX'!$D$7=D1498,OR(LEFT(TH!L1498,2)="15",LEFT(TH!M1498,2)="15")),"x","")</f>
        <v/>
      </c>
      <c r="Y1498" s="55" t="str">
        <f>IF(AND(OR(LEFT(TH!L1498,2)="15",LEFT(TH!M1498,2)="15"),'152-CT'!$J$8=TH!F1498),"x","")</f>
        <v/>
      </c>
      <c r="Z1498" s="55" t="str">
        <f>IF(AND(OR(LEFT(TH!L1498,2)="15",LEFT(TH!M1498,2)="15"),TK!$E$7=TH!F1498),"x","")</f>
        <v/>
      </c>
      <c r="AA1498" s="55" t="str">
        <f>IF(AND(B1498&lt;=NKC!$N$8,B1498&gt;=NKC!$M$8),"x","")</f>
        <v/>
      </c>
    </row>
    <row r="1499" spans="1:27" ht="15.75" customHeight="1">
      <c r="A1499" s="219" t="str">
        <f>IF(B1499&lt;&gt;"",IF(AND(B1499&gt;=_TM1,B1499&lt;=_TM2,OR(TH!L1499="1111",TH!M1499="1111")),TH!D1499,""),"")</f>
        <v/>
      </c>
      <c r="B1499" s="36" t="str">
        <f t="shared" si="57"/>
        <v/>
      </c>
      <c r="C1499" s="37"/>
      <c r="D1499" s="37"/>
      <c r="E1499" s="37"/>
      <c r="F1499" s="40"/>
      <c r="G1499" s="40"/>
      <c r="H1499" s="45"/>
      <c r="I1499" s="277"/>
      <c r="J1499" s="277"/>
      <c r="K1499" s="38"/>
      <c r="L1499" s="39"/>
      <c r="M1499" s="39"/>
      <c r="N1499" s="55" t="str">
        <f>IF(AND('331-CT'!$E$7=TH!H1499,OR(L1499="331",M1499="331")),"x","")</f>
        <v/>
      </c>
      <c r="O1499" s="55" t="str">
        <f>IF(AND($B1499&gt;='111'!$N$11,$B1499&lt;='111'!$O$11,OR($L1499=$O$7,$M1499=$O$7)),"x","")</f>
        <v/>
      </c>
      <c r="P1499" s="55" t="str">
        <f>IF(AND($L1499=$O$7,$B1499&lt;'111'!$N$11),"x","")</f>
        <v/>
      </c>
      <c r="Q1499" s="55" t="str">
        <f>IF(AND($M1499=$O$7,$B1499&lt;'111'!$N$11),"x","")</f>
        <v/>
      </c>
      <c r="R1499" s="55" t="str">
        <f>IF(ISERROR(FIND('112'!$M$9,G1499,1)),"",IF((AND(FIND('112'!$M$9,G1499,1)&gt;=1,$B1499&gt;='112'!$N$8,$B1499&lt;='112'!$O$8,OR($L1499='112'!$I$6,$M1499='112'!$I$6))),"x",""))</f>
        <v/>
      </c>
      <c r="S1499" s="55" t="str">
        <f>IF(ISERROR(FIND('112'!$M$9,G1499,1)),"",IF((AND(LEFT(G1499,2)=LEFT('112'!$M$9,2),B1499&lt;'112'!$N$8,$L1499='112'!$I$6)),"x",""))</f>
        <v/>
      </c>
      <c r="T1499" s="55" t="str">
        <f>IF(ISERROR(FIND('112'!$M$9,G1499,1)),"",IF((AND(RIGHT(G1499,2)=RIGHT('112'!$M$9,2),B1499&lt;'112'!$N$8,$M1499='112'!$I$6)),"x",""))</f>
        <v/>
      </c>
      <c r="U1499" s="55" t="str">
        <f>IF(AND('3411-CT'!$F$9=H1499,OR(LEFT(L1499,3)=$U$7,LEFT(M1499,3)=$U$7)),"x","")</f>
        <v/>
      </c>
      <c r="V1499" s="55" t="str">
        <f>IF(OR(TH!L1499=TH!$V$7,M1499=TH!$V$7),"x","")</f>
        <v/>
      </c>
      <c r="W1499" s="55" t="str">
        <f>IF(AND(OR(L1499="131",M1499="131"),H1499='131-CT'!$E$7),"x","")</f>
        <v/>
      </c>
      <c r="X1499" s="55" t="str">
        <f>IF(AND(B1499&gt;='IN-NX'!$P$3,B1499&lt;='IN-NX'!$Q$3,'IN-NX'!$D$7=D1499,OR(LEFT(TH!L1499,2)="15",LEFT(TH!M1499,2)="15")),"x","")</f>
        <v/>
      </c>
      <c r="Y1499" s="55" t="str">
        <f>IF(AND(OR(LEFT(TH!L1499,2)="15",LEFT(TH!M1499,2)="15"),'152-CT'!$J$8=TH!F1499),"x","")</f>
        <v/>
      </c>
      <c r="Z1499" s="55" t="str">
        <f>IF(AND(OR(LEFT(TH!L1499,2)="15",LEFT(TH!M1499,2)="15"),TK!$E$7=TH!F1499),"x","")</f>
        <v/>
      </c>
      <c r="AA1499" s="55" t="str">
        <f>IF(AND(B1499&lt;=NKC!$N$8,B1499&gt;=NKC!$M$8),"x","")</f>
        <v/>
      </c>
    </row>
    <row r="1500" spans="1:27" ht="15.75" customHeight="1">
      <c r="A1500" s="219" t="str">
        <f>IF(B1500&lt;&gt;"",IF(AND(B1500&gt;=_TM1,B1500&lt;=_TM2,OR(TH!L1500="1111",TH!M1500="1111")),TH!D1500,""),"")</f>
        <v/>
      </c>
      <c r="B1500" s="36" t="str">
        <f t="shared" si="57"/>
        <v/>
      </c>
      <c r="C1500" s="37"/>
      <c r="D1500" s="37"/>
      <c r="E1500" s="37"/>
      <c r="F1500" s="40"/>
      <c r="G1500" s="40"/>
      <c r="H1500" s="45"/>
      <c r="I1500" s="277"/>
      <c r="J1500" s="277"/>
      <c r="K1500" s="38"/>
      <c r="L1500" s="39"/>
      <c r="M1500" s="39"/>
      <c r="N1500" s="55" t="str">
        <f>IF(AND('331-CT'!$E$7=TH!H1500,OR(L1500="331",M1500="331")),"x","")</f>
        <v/>
      </c>
      <c r="O1500" s="55" t="str">
        <f>IF(AND($B1500&gt;='111'!$N$11,$B1500&lt;='111'!$O$11,OR($L1500=$O$7,$M1500=$O$7)),"x","")</f>
        <v/>
      </c>
      <c r="P1500" s="55" t="str">
        <f>IF(AND($L1500=$O$7,$B1500&lt;'111'!$N$11),"x","")</f>
        <v/>
      </c>
      <c r="Q1500" s="55" t="str">
        <f>IF(AND($M1500=$O$7,$B1500&lt;'111'!$N$11),"x","")</f>
        <v/>
      </c>
      <c r="R1500" s="55" t="str">
        <f>IF(ISERROR(FIND('112'!$M$9,G1500,1)),"",IF((AND(FIND('112'!$M$9,G1500,1)&gt;=1,$B1500&gt;='112'!$N$8,$B1500&lt;='112'!$O$8,OR($L1500='112'!$I$6,$M1500='112'!$I$6))),"x",""))</f>
        <v/>
      </c>
      <c r="S1500" s="55" t="str">
        <f>IF(ISERROR(FIND('112'!$M$9,G1500,1)),"",IF((AND(LEFT(G1500,2)=LEFT('112'!$M$9,2),B1500&lt;'112'!$N$8,$L1500='112'!$I$6)),"x",""))</f>
        <v/>
      </c>
      <c r="T1500" s="55" t="str">
        <f>IF(ISERROR(FIND('112'!$M$9,G1500,1)),"",IF((AND(RIGHT(G1500,2)=RIGHT('112'!$M$9,2),B1500&lt;'112'!$N$8,$M1500='112'!$I$6)),"x",""))</f>
        <v/>
      </c>
      <c r="U1500" s="55" t="str">
        <f>IF(AND('3411-CT'!$F$9=H1500,OR(LEFT(L1500,3)=$U$7,LEFT(M1500,3)=$U$7)),"x","")</f>
        <v/>
      </c>
      <c r="V1500" s="55" t="str">
        <f>IF(OR(TH!L1500=TH!$V$7,M1500=TH!$V$7),"x","")</f>
        <v/>
      </c>
      <c r="W1500" s="55" t="str">
        <f>IF(AND(OR(L1500="131",M1500="131"),H1500='131-CT'!$E$7),"x","")</f>
        <v/>
      </c>
      <c r="X1500" s="55" t="str">
        <f>IF(AND(B1500&gt;='IN-NX'!$P$3,B1500&lt;='IN-NX'!$Q$3,'IN-NX'!$D$7=D1500,OR(LEFT(TH!L1500,2)="15",LEFT(TH!M1500,2)="15")),"x","")</f>
        <v/>
      </c>
      <c r="Y1500" s="55" t="str">
        <f>IF(AND(OR(LEFT(TH!L1500,2)="15",LEFT(TH!M1500,2)="15"),'152-CT'!$J$8=TH!F1500),"x","")</f>
        <v/>
      </c>
      <c r="Z1500" s="55" t="str">
        <f>IF(AND(OR(LEFT(TH!L1500,2)="15",LEFT(TH!M1500,2)="15"),TK!$E$7=TH!F1500),"x","")</f>
        <v/>
      </c>
      <c r="AA1500" s="55" t="str">
        <f>IF(AND(B1500&lt;=NKC!$N$8,B1500&gt;=NKC!$M$8),"x","")</f>
        <v/>
      </c>
    </row>
    <row r="1501" spans="1:27" ht="15.75" customHeight="1">
      <c r="A1501" s="219" t="str">
        <f>IF(B1501&lt;&gt;"",IF(AND(B1501&gt;=_TM1,B1501&lt;=_TM2,OR(TH!L1501="1111",TH!M1501="1111")),TH!D1501,""),"")</f>
        <v/>
      </c>
      <c r="B1501" s="36" t="str">
        <f t="shared" si="57"/>
        <v/>
      </c>
      <c r="C1501" s="37"/>
      <c r="D1501" s="37"/>
      <c r="E1501" s="37"/>
      <c r="F1501" s="40"/>
      <c r="G1501" s="40"/>
      <c r="H1501" s="45"/>
      <c r="I1501" s="277"/>
      <c r="J1501" s="277"/>
      <c r="K1501" s="38"/>
      <c r="L1501" s="39"/>
      <c r="M1501" s="39"/>
      <c r="N1501" s="55" t="str">
        <f>IF(AND('331-CT'!$E$7=TH!H1501,OR(L1501="331",M1501="331")),"x","")</f>
        <v/>
      </c>
      <c r="O1501" s="55" t="str">
        <f>IF(AND($B1501&gt;='111'!$N$11,$B1501&lt;='111'!$O$11,OR($L1501=$O$7,$M1501=$O$7)),"x","")</f>
        <v/>
      </c>
      <c r="P1501" s="55" t="str">
        <f>IF(AND($L1501=$O$7,$B1501&lt;'111'!$N$11),"x","")</f>
        <v/>
      </c>
      <c r="Q1501" s="55" t="str">
        <f>IF(AND($M1501=$O$7,$B1501&lt;'111'!$N$11),"x","")</f>
        <v/>
      </c>
      <c r="R1501" s="55" t="str">
        <f>IF(ISERROR(FIND('112'!$M$9,G1501,1)),"",IF((AND(FIND('112'!$M$9,G1501,1)&gt;=1,$B1501&gt;='112'!$N$8,$B1501&lt;='112'!$O$8,OR($L1501='112'!$I$6,$M1501='112'!$I$6))),"x",""))</f>
        <v/>
      </c>
      <c r="S1501" s="55" t="str">
        <f>IF(ISERROR(FIND('112'!$M$9,G1501,1)),"",IF((AND(LEFT(G1501,2)=LEFT('112'!$M$9,2),B1501&lt;'112'!$N$8,$L1501='112'!$I$6)),"x",""))</f>
        <v/>
      </c>
      <c r="T1501" s="55" t="str">
        <f>IF(ISERROR(FIND('112'!$M$9,G1501,1)),"",IF((AND(RIGHT(G1501,2)=RIGHT('112'!$M$9,2),B1501&lt;'112'!$N$8,$M1501='112'!$I$6)),"x",""))</f>
        <v/>
      </c>
      <c r="U1501" s="55" t="str">
        <f>IF(AND('3411-CT'!$F$9=H1501,OR(LEFT(L1501,3)=$U$7,LEFT(M1501,3)=$U$7)),"x","")</f>
        <v/>
      </c>
      <c r="V1501" s="55" t="str">
        <f>IF(OR(TH!L1501=TH!$V$7,M1501=TH!$V$7),"x","")</f>
        <v/>
      </c>
      <c r="W1501" s="55" t="str">
        <f>IF(AND(OR(L1501="131",M1501="131"),H1501='131-CT'!$E$7),"x","")</f>
        <v/>
      </c>
      <c r="X1501" s="55" t="str">
        <f>IF(AND(B1501&gt;='IN-NX'!$P$3,B1501&lt;='IN-NX'!$Q$3,'IN-NX'!$D$7=D1501,OR(LEFT(TH!L1501,2)="15",LEFT(TH!M1501,2)="15")),"x","")</f>
        <v/>
      </c>
      <c r="Y1501" s="55" t="str">
        <f>IF(AND(OR(LEFT(TH!L1501,2)="15",LEFT(TH!M1501,2)="15"),'152-CT'!$J$8=TH!F1501),"x","")</f>
        <v/>
      </c>
      <c r="Z1501" s="55" t="str">
        <f>IF(AND(OR(LEFT(TH!L1501,2)="15",LEFT(TH!M1501,2)="15"),TK!$E$7=TH!F1501),"x","")</f>
        <v/>
      </c>
      <c r="AA1501" s="55" t="str">
        <f>IF(AND(B1501&lt;=NKC!$N$8,B1501&gt;=NKC!$M$8),"x","")</f>
        <v/>
      </c>
    </row>
    <row r="1502" spans="1:27" ht="15.75" customHeight="1">
      <c r="A1502" s="219" t="str">
        <f>IF(B1502&lt;&gt;"",IF(AND(B1502&gt;=_TM1,B1502&lt;=_TM2,OR(TH!L1502="1111",TH!M1502="1111")),TH!D1502,""),"")</f>
        <v/>
      </c>
      <c r="B1502" s="36" t="str">
        <f t="shared" si="57"/>
        <v/>
      </c>
      <c r="C1502" s="37"/>
      <c r="D1502" s="37"/>
      <c r="E1502" s="37"/>
      <c r="F1502" s="40"/>
      <c r="G1502" s="40"/>
      <c r="H1502" s="45"/>
      <c r="I1502" s="277"/>
      <c r="J1502" s="277"/>
      <c r="K1502" s="38"/>
      <c r="L1502" s="39"/>
      <c r="M1502" s="39"/>
      <c r="N1502" s="55" t="str">
        <f>IF(AND('331-CT'!$E$7=TH!H1502,OR(L1502="331",M1502="331")),"x","")</f>
        <v/>
      </c>
      <c r="O1502" s="55" t="str">
        <f>IF(AND($B1502&gt;='111'!$N$11,$B1502&lt;='111'!$O$11,OR($L1502=$O$7,$M1502=$O$7)),"x","")</f>
        <v/>
      </c>
      <c r="P1502" s="55" t="str">
        <f>IF(AND($L1502=$O$7,$B1502&lt;'111'!$N$11),"x","")</f>
        <v/>
      </c>
      <c r="Q1502" s="55" t="str">
        <f>IF(AND($M1502=$O$7,$B1502&lt;'111'!$N$11),"x","")</f>
        <v/>
      </c>
      <c r="R1502" s="55" t="str">
        <f>IF(ISERROR(FIND('112'!$M$9,G1502,1)),"",IF((AND(FIND('112'!$M$9,G1502,1)&gt;=1,$B1502&gt;='112'!$N$8,$B1502&lt;='112'!$O$8,OR($L1502='112'!$I$6,$M1502='112'!$I$6))),"x",""))</f>
        <v/>
      </c>
      <c r="S1502" s="55" t="str">
        <f>IF(ISERROR(FIND('112'!$M$9,G1502,1)),"",IF((AND(LEFT(G1502,2)=LEFT('112'!$M$9,2),B1502&lt;'112'!$N$8,$L1502='112'!$I$6)),"x",""))</f>
        <v/>
      </c>
      <c r="T1502" s="55" t="str">
        <f>IF(ISERROR(FIND('112'!$M$9,G1502,1)),"",IF((AND(RIGHT(G1502,2)=RIGHT('112'!$M$9,2),B1502&lt;'112'!$N$8,$M1502='112'!$I$6)),"x",""))</f>
        <v/>
      </c>
      <c r="U1502" s="55" t="str">
        <f>IF(AND('3411-CT'!$F$9=H1502,OR(LEFT(L1502,3)=$U$7,LEFT(M1502,3)=$U$7)),"x","")</f>
        <v/>
      </c>
      <c r="V1502" s="55" t="str">
        <f>IF(OR(TH!L1502=TH!$V$7,M1502=TH!$V$7),"x","")</f>
        <v/>
      </c>
      <c r="W1502" s="55" t="str">
        <f>IF(AND(OR(L1502="131",M1502="131"),H1502='131-CT'!$E$7),"x","")</f>
        <v/>
      </c>
      <c r="X1502" s="55" t="str">
        <f>IF(AND(B1502&gt;='IN-NX'!$P$3,B1502&lt;='IN-NX'!$Q$3,'IN-NX'!$D$7=D1502,OR(LEFT(TH!L1502,2)="15",LEFT(TH!M1502,2)="15")),"x","")</f>
        <v/>
      </c>
      <c r="Y1502" s="55" t="str">
        <f>IF(AND(OR(LEFT(TH!L1502,2)="15",LEFT(TH!M1502,2)="15"),'152-CT'!$J$8=TH!F1502),"x","")</f>
        <v/>
      </c>
      <c r="Z1502" s="55" t="str">
        <f>IF(AND(OR(LEFT(TH!L1502,2)="15",LEFT(TH!M1502,2)="15"),TK!$E$7=TH!F1502),"x","")</f>
        <v/>
      </c>
      <c r="AA1502" s="55" t="str">
        <f>IF(AND(B1502&lt;=NKC!$N$8,B1502&gt;=NKC!$M$8),"x","")</f>
        <v/>
      </c>
    </row>
    <row r="1503" spans="1:27" s="226" customFormat="1" ht="15.75" customHeight="1">
      <c r="A1503" s="219" t="str">
        <f>IF(B1503&lt;&gt;"",IF(AND(B1503&gt;=_TM1,B1503&lt;=_TM2,OR(TH!L1503="1111",TH!M1503="1111")),TH!D1503,""),"")</f>
        <v/>
      </c>
      <c r="B1503" s="36" t="str">
        <f t="shared" si="57"/>
        <v/>
      </c>
      <c r="C1503" s="37"/>
      <c r="D1503" s="205"/>
      <c r="E1503" s="205"/>
      <c r="F1503" s="206"/>
      <c r="G1503" s="206"/>
      <c r="H1503" s="207"/>
      <c r="I1503" s="277"/>
      <c r="J1503" s="277"/>
      <c r="K1503" s="38"/>
      <c r="L1503" s="208"/>
      <c r="M1503" s="208"/>
      <c r="N1503" s="55" t="str">
        <f>IF(AND('331-CT'!$E$7=TH!H1503,OR(L1503="331",M1503="331")),"x","")</f>
        <v/>
      </c>
      <c r="O1503" s="55" t="str">
        <f>IF(AND($B1503&gt;='111'!$N$11,$B1503&lt;='111'!$O$11,OR($L1503=$O$7,$M1503=$O$7)),"x","")</f>
        <v/>
      </c>
      <c r="P1503" s="55" t="str">
        <f>IF(AND($L1503=$O$7,$B1503&lt;'111'!$N$11),"x","")</f>
        <v/>
      </c>
      <c r="Q1503" s="55" t="str">
        <f>IF(AND($M1503=$O$7,$B1503&lt;'111'!$N$11),"x","")</f>
        <v/>
      </c>
      <c r="R1503" s="55" t="str">
        <f>IF(ISERROR(FIND('112'!$M$9,G1503,1)),"",IF((AND(FIND('112'!$M$9,G1503,1)&gt;=1,$B1503&gt;='112'!$N$8,$B1503&lt;='112'!$O$8,OR($L1503='112'!$I$6,$M1503='112'!$I$6))),"x",""))</f>
        <v/>
      </c>
      <c r="S1503" s="55" t="str">
        <f>IF(ISERROR(FIND('112'!$M$9,G1503,1)),"",IF((AND(LEFT(G1503,2)=LEFT('112'!$M$9,2),B1503&lt;'112'!$N$8,$L1503='112'!$I$6)),"x",""))</f>
        <v/>
      </c>
      <c r="T1503" s="55" t="str">
        <f>IF(ISERROR(FIND('112'!$M$9,G1503,1)),"",IF((AND(RIGHT(G1503,2)=RIGHT('112'!$M$9,2),B1503&lt;'112'!$N$8,$M1503='112'!$I$6)),"x",""))</f>
        <v/>
      </c>
      <c r="U1503" s="55" t="str">
        <f>IF(AND('3411-CT'!$F$9=H1503,OR(LEFT(L1503,3)=$U$7,LEFT(M1503,3)=$U$7)),"x","")</f>
        <v/>
      </c>
      <c r="V1503" s="55" t="str">
        <f>IF(OR(TH!L1503=TH!$V$7,M1503=TH!$V$7),"x","")</f>
        <v/>
      </c>
      <c r="W1503" s="55" t="str">
        <f>IF(AND(OR(L1503="131",M1503="131"),H1503='131-CT'!$E$7),"x","")</f>
        <v/>
      </c>
      <c r="X1503" s="55" t="str">
        <f>IF(AND(B1503&gt;='IN-NX'!$P$3,B1503&lt;='IN-NX'!$Q$3,'IN-NX'!$D$7=D1503,OR(LEFT(TH!L1503,2)="15",LEFT(TH!M1503,2)="15")),"x","")</f>
        <v/>
      </c>
      <c r="Y1503" s="55" t="str">
        <f>IF(AND(OR(LEFT(TH!L1503,2)="15",LEFT(TH!M1503,2)="15"),'152-CT'!$J$8=TH!F1503),"x","")</f>
        <v/>
      </c>
      <c r="Z1503" s="55" t="str">
        <f>IF(AND(OR(LEFT(TH!L1503,2)="15",LEFT(TH!M1503,2)="15"),TK!$E$7=TH!F1503),"x","")</f>
        <v/>
      </c>
      <c r="AA1503" s="55" t="str">
        <f>IF(AND(B1503&lt;=NKC!$N$8,B1503&gt;=NKC!$M$8),"x","")</f>
        <v/>
      </c>
    </row>
    <row r="1504" spans="1:27" s="226" customFormat="1" ht="15.75" customHeight="1">
      <c r="A1504" s="219" t="str">
        <f>IF(B1504&lt;&gt;"",IF(AND(B1504&gt;=_TM1,B1504&lt;=_TM2,OR(TH!L1504="1111",TH!M1504="1111")),TH!D1504,""),"")</f>
        <v/>
      </c>
      <c r="B1504" s="36" t="str">
        <f t="shared" si="57"/>
        <v/>
      </c>
      <c r="C1504" s="37"/>
      <c r="D1504" s="205"/>
      <c r="E1504" s="205"/>
      <c r="F1504" s="206"/>
      <c r="G1504" s="206"/>
      <c r="H1504" s="207"/>
      <c r="I1504" s="277"/>
      <c r="J1504" s="277"/>
      <c r="K1504" s="38"/>
      <c r="L1504" s="208"/>
      <c r="M1504" s="208"/>
      <c r="N1504" s="55" t="str">
        <f>IF(AND('331-CT'!$E$7=TH!H1504,OR(L1504="331",M1504="331")),"x","")</f>
        <v/>
      </c>
      <c r="O1504" s="55" t="str">
        <f>IF(AND($B1504&gt;='111'!$N$11,$B1504&lt;='111'!$O$11,OR($L1504=$O$7,$M1504=$O$7)),"x","")</f>
        <v/>
      </c>
      <c r="P1504" s="55" t="str">
        <f>IF(AND($L1504=$O$7,$B1504&lt;'111'!$N$11),"x","")</f>
        <v/>
      </c>
      <c r="Q1504" s="55" t="str">
        <f>IF(AND($M1504=$O$7,$B1504&lt;'111'!$N$11),"x","")</f>
        <v/>
      </c>
      <c r="R1504" s="55" t="str">
        <f>IF(ISERROR(FIND('112'!$M$9,G1504,1)),"",IF((AND(FIND('112'!$M$9,G1504,1)&gt;=1,$B1504&gt;='112'!$N$8,$B1504&lt;='112'!$O$8,OR($L1504='112'!$I$6,$M1504='112'!$I$6))),"x",""))</f>
        <v/>
      </c>
      <c r="S1504" s="55" t="str">
        <f>IF(ISERROR(FIND('112'!$M$9,G1504,1)),"",IF((AND(LEFT(G1504,2)=LEFT('112'!$M$9,2),B1504&lt;'112'!$N$8,$L1504='112'!$I$6)),"x",""))</f>
        <v/>
      </c>
      <c r="T1504" s="55" t="str">
        <f>IF(ISERROR(FIND('112'!$M$9,G1504,1)),"",IF((AND(RIGHT(G1504,2)=RIGHT('112'!$M$9,2),B1504&lt;'112'!$N$8,$M1504='112'!$I$6)),"x",""))</f>
        <v/>
      </c>
      <c r="U1504" s="55" t="str">
        <f>IF(AND('3411-CT'!$F$9=H1504,OR(LEFT(L1504,3)=$U$7,LEFT(M1504,3)=$U$7)),"x","")</f>
        <v/>
      </c>
      <c r="V1504" s="55" t="str">
        <f>IF(OR(TH!L1504=TH!$V$7,M1504=TH!$V$7),"x","")</f>
        <v/>
      </c>
      <c r="W1504" s="55" t="str">
        <f>IF(AND(OR(L1504="131",M1504="131"),H1504='131-CT'!$E$7),"x","")</f>
        <v/>
      </c>
      <c r="X1504" s="55" t="str">
        <f>IF(AND(B1504&gt;='IN-NX'!$P$3,B1504&lt;='IN-NX'!$Q$3,'IN-NX'!$D$7=D1504,OR(LEFT(TH!L1504,2)="15",LEFT(TH!M1504,2)="15")),"x","")</f>
        <v/>
      </c>
      <c r="Y1504" s="55" t="str">
        <f>IF(AND(OR(LEFT(TH!L1504,2)="15",LEFT(TH!M1504,2)="15"),'152-CT'!$J$8=TH!F1504),"x","")</f>
        <v/>
      </c>
      <c r="Z1504" s="55" t="str">
        <f>IF(AND(OR(LEFT(TH!L1504,2)="15",LEFT(TH!M1504,2)="15"),TK!$E$7=TH!F1504),"x","")</f>
        <v/>
      </c>
      <c r="AA1504" s="55" t="str">
        <f>IF(AND(B1504&lt;=NKC!$N$8,B1504&gt;=NKC!$M$8),"x","")</f>
        <v/>
      </c>
    </row>
    <row r="1505" spans="1:27" s="226" customFormat="1" ht="15.75" customHeight="1">
      <c r="A1505" s="219" t="str">
        <f>IF(B1505&lt;&gt;"",IF(AND(B1505&gt;=_TM1,B1505&lt;=_TM2,OR(TH!L1505="1111",TH!M1505="1111")),TH!D1505,""),"")</f>
        <v/>
      </c>
      <c r="B1505" s="36" t="str">
        <f t="shared" si="57"/>
        <v/>
      </c>
      <c r="C1505" s="37"/>
      <c r="D1505" s="205"/>
      <c r="E1505" s="205"/>
      <c r="F1505" s="206"/>
      <c r="G1505" s="206"/>
      <c r="H1505" s="207"/>
      <c r="I1505" s="277"/>
      <c r="J1505" s="277"/>
      <c r="K1505" s="38"/>
      <c r="L1505" s="208"/>
      <c r="M1505" s="208"/>
      <c r="N1505" s="55" t="str">
        <f>IF(AND('331-CT'!$E$7=TH!H1505,OR(L1505="331",M1505="331")),"x","")</f>
        <v/>
      </c>
      <c r="O1505" s="55" t="str">
        <f>IF(AND($B1505&gt;='111'!$N$11,$B1505&lt;='111'!$O$11,OR($L1505=$O$7,$M1505=$O$7)),"x","")</f>
        <v/>
      </c>
      <c r="P1505" s="55" t="str">
        <f>IF(AND($L1505=$O$7,$B1505&lt;'111'!$N$11),"x","")</f>
        <v/>
      </c>
      <c r="Q1505" s="55" t="str">
        <f>IF(AND($M1505=$O$7,$B1505&lt;'111'!$N$11),"x","")</f>
        <v/>
      </c>
      <c r="R1505" s="55" t="str">
        <f>IF(ISERROR(FIND('112'!$M$9,G1505,1)),"",IF((AND(FIND('112'!$M$9,G1505,1)&gt;=1,$B1505&gt;='112'!$N$8,$B1505&lt;='112'!$O$8,OR($L1505='112'!$I$6,$M1505='112'!$I$6))),"x",""))</f>
        <v/>
      </c>
      <c r="S1505" s="55" t="str">
        <f>IF(ISERROR(FIND('112'!$M$9,G1505,1)),"",IF((AND(LEFT(G1505,2)=LEFT('112'!$M$9,2),B1505&lt;'112'!$N$8,$L1505='112'!$I$6)),"x",""))</f>
        <v/>
      </c>
      <c r="T1505" s="55" t="str">
        <f>IF(ISERROR(FIND('112'!$M$9,G1505,1)),"",IF((AND(RIGHT(G1505,2)=RIGHT('112'!$M$9,2),B1505&lt;'112'!$N$8,$M1505='112'!$I$6)),"x",""))</f>
        <v/>
      </c>
      <c r="U1505" s="55" t="str">
        <f>IF(AND('3411-CT'!$F$9=H1505,OR(LEFT(L1505,3)=$U$7,LEFT(M1505,3)=$U$7)),"x","")</f>
        <v/>
      </c>
      <c r="V1505" s="55" t="str">
        <f>IF(OR(TH!L1505=TH!$V$7,M1505=TH!$V$7),"x","")</f>
        <v/>
      </c>
      <c r="W1505" s="55" t="str">
        <f>IF(AND(OR(L1505="131",M1505="131"),H1505='131-CT'!$E$7),"x","")</f>
        <v/>
      </c>
      <c r="X1505" s="55" t="str">
        <f>IF(AND(B1505&gt;='IN-NX'!$P$3,B1505&lt;='IN-NX'!$Q$3,'IN-NX'!$D$7=D1505,OR(LEFT(TH!L1505,2)="15",LEFT(TH!M1505,2)="15")),"x","")</f>
        <v/>
      </c>
      <c r="Y1505" s="55" t="str">
        <f>IF(AND(OR(LEFT(TH!L1505,2)="15",LEFT(TH!M1505,2)="15"),'152-CT'!$J$8=TH!F1505),"x","")</f>
        <v/>
      </c>
      <c r="Z1505" s="55" t="str">
        <f>IF(AND(OR(LEFT(TH!L1505,2)="15",LEFT(TH!M1505,2)="15"),TK!$E$7=TH!F1505),"x","")</f>
        <v/>
      </c>
      <c r="AA1505" s="55" t="str">
        <f>IF(AND(B1505&lt;=NKC!$N$8,B1505&gt;=NKC!$M$8),"x","")</f>
        <v/>
      </c>
    </row>
    <row r="1506" spans="1:27" s="226" customFormat="1" ht="15.75" customHeight="1">
      <c r="A1506" s="219" t="str">
        <f>IF(B1506&lt;&gt;"",IF(AND(B1506&gt;=_TM1,B1506&lt;=_TM2,OR(TH!L1506="1111",TH!M1506="1111")),TH!D1506,""),"")</f>
        <v/>
      </c>
      <c r="B1506" s="36" t="str">
        <f t="shared" si="57"/>
        <v/>
      </c>
      <c r="C1506" s="37"/>
      <c r="D1506" s="37"/>
      <c r="E1506" s="37"/>
      <c r="F1506" s="40"/>
      <c r="G1506" s="580"/>
      <c r="H1506" s="225"/>
      <c r="I1506" s="278"/>
      <c r="J1506" s="278"/>
      <c r="K1506" s="215"/>
      <c r="L1506" s="208"/>
      <c r="M1506" s="39"/>
      <c r="N1506" s="55" t="str">
        <f>IF(AND('331-CT'!$E$7=TH!H1506,OR(L1506="331",M1506="331")),"x","")</f>
        <v/>
      </c>
      <c r="O1506" s="55" t="str">
        <f>IF(AND($B1506&gt;='111'!$N$11,$B1506&lt;='111'!$O$11,OR($L1506=$O$7,$M1506=$O$7)),"x","")</f>
        <v/>
      </c>
      <c r="P1506" s="55" t="str">
        <f>IF(AND($L1506=$O$7,$B1506&lt;'111'!$N$11),"x","")</f>
        <v/>
      </c>
      <c r="Q1506" s="55" t="str">
        <f>IF(AND($M1506=$O$7,$B1506&lt;'111'!$N$11),"x","")</f>
        <v/>
      </c>
      <c r="R1506" s="55" t="str">
        <f>IF(ISERROR(FIND('112'!$M$9,G1506,1)),"",IF((AND(FIND('112'!$M$9,G1506,1)&gt;=1,$B1506&gt;='112'!$N$8,$B1506&lt;='112'!$O$8,OR($L1506='112'!$I$6,$M1506='112'!$I$6))),"x",""))</f>
        <v/>
      </c>
      <c r="S1506" s="55" t="str">
        <f>IF(ISERROR(FIND('112'!$M$9,G1506,1)),"",IF((AND(LEFT(G1506,2)=LEFT('112'!$M$9,2),B1506&lt;'112'!$N$8,$L1506='112'!$I$6)),"x",""))</f>
        <v/>
      </c>
      <c r="T1506" s="55" t="str">
        <f>IF(ISERROR(FIND('112'!$M$9,G1506,1)),"",IF((AND(RIGHT(G1506,2)=RIGHT('112'!$M$9,2),B1506&lt;'112'!$N$8,$M1506='112'!$I$6)),"x",""))</f>
        <v/>
      </c>
      <c r="U1506" s="55" t="str">
        <f>IF(AND('3411-CT'!$F$9=H1506,OR(LEFT(L1506,3)=$U$7,LEFT(M1506,3)=$U$7)),"x","")</f>
        <v/>
      </c>
      <c r="V1506" s="55" t="str">
        <f>IF(OR(TH!L1506=TH!$V$7,M1506=TH!$V$7),"x","")</f>
        <v/>
      </c>
      <c r="W1506" s="55" t="str">
        <f>IF(AND(OR(L1506="131",M1506="131"),H1506='131-CT'!$E$7),"x","")</f>
        <v/>
      </c>
      <c r="X1506" s="55" t="str">
        <f>IF(AND(B1506&gt;='IN-NX'!$P$3,B1506&lt;='IN-NX'!$Q$3,'IN-NX'!$D$7=D1506,OR(LEFT(TH!L1506,2)="15",LEFT(TH!M1506,2)="15")),"x","")</f>
        <v/>
      </c>
      <c r="Y1506" s="55" t="str">
        <f>IF(AND(OR(LEFT(TH!L1506,2)="15",LEFT(TH!M1506,2)="15"),'152-CT'!$J$8=TH!F1506),"x","")</f>
        <v/>
      </c>
      <c r="Z1506" s="55" t="str">
        <f>IF(AND(OR(LEFT(TH!L1506,2)="15",LEFT(TH!M1506,2)="15"),TK!$E$7=TH!F1506),"x","")</f>
        <v/>
      </c>
      <c r="AA1506" s="55" t="str">
        <f>IF(AND(B1506&lt;=NKC!$N$8,B1506&gt;=NKC!$M$8),"x","")</f>
        <v/>
      </c>
    </row>
    <row r="1507" spans="1:27" s="226" customFormat="1" ht="15.75" customHeight="1">
      <c r="A1507" s="219" t="str">
        <f>IF(B1507&lt;&gt;"",IF(AND(B1507&gt;=_TM1,B1507&lt;=_TM2,OR(TH!L1507="1111",TH!M1507="1111")),TH!D1507,""),"")</f>
        <v/>
      </c>
      <c r="B1507" s="36" t="str">
        <f t="shared" si="57"/>
        <v/>
      </c>
      <c r="C1507" s="37"/>
      <c r="D1507" s="37"/>
      <c r="E1507" s="37"/>
      <c r="F1507" s="40"/>
      <c r="G1507" s="580"/>
      <c r="H1507" s="225"/>
      <c r="I1507" s="278"/>
      <c r="J1507" s="278"/>
      <c r="K1507" s="38"/>
      <c r="L1507" s="208"/>
      <c r="M1507" s="39"/>
      <c r="N1507" s="55" t="str">
        <f>IF(AND('331-CT'!$E$7=TH!H1507,OR(L1507="331",M1507="331")),"x","")</f>
        <v/>
      </c>
      <c r="O1507" s="55" t="str">
        <f>IF(AND($B1507&gt;='111'!$N$11,$B1507&lt;='111'!$O$11,OR($L1507=$O$7,$M1507=$O$7)),"x","")</f>
        <v/>
      </c>
      <c r="P1507" s="55" t="str">
        <f>IF(AND($L1507=$O$7,$B1507&lt;'111'!$N$11),"x","")</f>
        <v/>
      </c>
      <c r="Q1507" s="55" t="str">
        <f>IF(AND($M1507=$O$7,$B1507&lt;'111'!$N$11),"x","")</f>
        <v/>
      </c>
      <c r="R1507" s="55" t="str">
        <f>IF(ISERROR(FIND('112'!$M$9,G1507,1)),"",IF((AND(FIND('112'!$M$9,G1507,1)&gt;=1,$B1507&gt;='112'!$N$8,$B1507&lt;='112'!$O$8,OR($L1507='112'!$I$6,$M1507='112'!$I$6))),"x",""))</f>
        <v/>
      </c>
      <c r="S1507" s="55" t="str">
        <f>IF(ISERROR(FIND('112'!$M$9,G1507,1)),"",IF((AND(LEFT(G1507,2)=LEFT('112'!$M$9,2),B1507&lt;'112'!$N$8,$L1507='112'!$I$6)),"x",""))</f>
        <v/>
      </c>
      <c r="T1507" s="55" t="str">
        <f>IF(ISERROR(FIND('112'!$M$9,G1507,1)),"",IF((AND(RIGHT(G1507,2)=RIGHT('112'!$M$9,2),B1507&lt;'112'!$N$8,$M1507='112'!$I$6)),"x",""))</f>
        <v/>
      </c>
      <c r="U1507" s="55" t="str">
        <f>IF(AND('3411-CT'!$F$9=H1507,OR(LEFT(L1507,3)=$U$7,LEFT(M1507,3)=$U$7)),"x","")</f>
        <v/>
      </c>
      <c r="V1507" s="55" t="str">
        <f>IF(OR(TH!L1507=TH!$V$7,M1507=TH!$V$7),"x","")</f>
        <v/>
      </c>
      <c r="W1507" s="55" t="str">
        <f>IF(AND(OR(L1507="131",M1507="131"),H1507='131-CT'!$E$7),"x","")</f>
        <v/>
      </c>
      <c r="X1507" s="55" t="str">
        <f>IF(AND(B1507&gt;='IN-NX'!$P$3,B1507&lt;='IN-NX'!$Q$3,'IN-NX'!$D$7=D1507,OR(LEFT(TH!L1507,2)="15",LEFT(TH!M1507,2)="15")),"x","")</f>
        <v/>
      </c>
      <c r="Y1507" s="55" t="str">
        <f>IF(AND(OR(LEFT(TH!L1507,2)="15",LEFT(TH!M1507,2)="15"),'152-CT'!$J$8=TH!F1507),"x","")</f>
        <v/>
      </c>
      <c r="Z1507" s="55" t="str">
        <f>IF(AND(OR(LEFT(TH!L1507,2)="15",LEFT(TH!M1507,2)="15"),TK!$E$7=TH!F1507),"x","")</f>
        <v/>
      </c>
      <c r="AA1507" s="55" t="str">
        <f>IF(AND(B1507&lt;=NKC!$N$8,B1507&gt;=NKC!$M$8),"x","")</f>
        <v/>
      </c>
    </row>
    <row r="1508" spans="1:27" s="226" customFormat="1" ht="15.75" customHeight="1">
      <c r="A1508" s="219" t="str">
        <f>IF(B1508&lt;&gt;"",IF(AND(B1508&gt;=_TM1,B1508&lt;=_TM2,OR(TH!L1508="1111",TH!M1508="1111")),TH!D1508,""),"")</f>
        <v/>
      </c>
      <c r="B1508" s="36" t="str">
        <f t="shared" si="57"/>
        <v/>
      </c>
      <c r="C1508" s="37"/>
      <c r="D1508" s="37"/>
      <c r="E1508" s="37"/>
      <c r="F1508" s="40"/>
      <c r="G1508" s="580"/>
      <c r="H1508" s="45"/>
      <c r="I1508" s="277"/>
      <c r="J1508" s="277"/>
      <c r="K1508" s="38"/>
      <c r="L1508" s="39"/>
      <c r="M1508" s="39"/>
      <c r="N1508" s="55" t="str">
        <f>IF(AND('331-CT'!$E$7=TH!H1508,OR(L1508="331",M1508="331")),"x","")</f>
        <v/>
      </c>
      <c r="O1508" s="55" t="str">
        <f>IF(AND($B1508&gt;='111'!$N$11,$B1508&lt;='111'!$O$11,OR($L1508=$O$7,$M1508=$O$7)),"x","")</f>
        <v/>
      </c>
      <c r="P1508" s="55" t="str">
        <f>IF(AND($L1508=$O$7,$B1508&lt;'111'!$N$11),"x","")</f>
        <v/>
      </c>
      <c r="Q1508" s="55" t="str">
        <f>IF(AND($M1508=$O$7,$B1508&lt;'111'!$N$11),"x","")</f>
        <v/>
      </c>
      <c r="R1508" s="55" t="str">
        <f>IF(ISERROR(FIND('112'!$M$9,G1508,1)),"",IF((AND(FIND('112'!$M$9,G1508,1)&gt;=1,$B1508&gt;='112'!$N$8,$B1508&lt;='112'!$O$8,OR($L1508='112'!$I$6,$M1508='112'!$I$6))),"x",""))</f>
        <v/>
      </c>
      <c r="S1508" s="55" t="str">
        <f>IF(ISERROR(FIND('112'!$M$9,G1508,1)),"",IF((AND(LEFT(G1508,2)=LEFT('112'!$M$9,2),B1508&lt;'112'!$N$8,$L1508='112'!$I$6)),"x",""))</f>
        <v/>
      </c>
      <c r="T1508" s="55" t="str">
        <f>IF(ISERROR(FIND('112'!$M$9,G1508,1)),"",IF((AND(RIGHT(G1508,2)=RIGHT('112'!$M$9,2),B1508&lt;'112'!$N$8,$M1508='112'!$I$6)),"x",""))</f>
        <v/>
      </c>
      <c r="U1508" s="55" t="str">
        <f>IF(AND('3411-CT'!$F$9=H1508,OR(LEFT(L1508,3)=$U$7,LEFT(M1508,3)=$U$7)),"x","")</f>
        <v/>
      </c>
      <c r="V1508" s="55" t="str">
        <f>IF(OR(TH!L1508=TH!$V$7,M1508=TH!$V$7),"x","")</f>
        <v/>
      </c>
      <c r="W1508" s="55" t="str">
        <f>IF(AND(OR(L1508="131",M1508="131"),H1508='131-CT'!$E$7),"x","")</f>
        <v/>
      </c>
      <c r="X1508" s="55" t="str">
        <f>IF(AND(B1508&gt;='IN-NX'!$P$3,B1508&lt;='IN-NX'!$Q$3,'IN-NX'!$D$7=D1508,OR(LEFT(TH!L1508,2)="15",LEFT(TH!M1508,2)="15")),"x","")</f>
        <v/>
      </c>
      <c r="Y1508" s="55" t="str">
        <f>IF(AND(OR(LEFT(TH!L1508,2)="15",LEFT(TH!M1508,2)="15"),'152-CT'!$J$8=TH!F1508),"x","")</f>
        <v/>
      </c>
      <c r="Z1508" s="55" t="str">
        <f>IF(AND(OR(LEFT(TH!L1508,2)="15",LEFT(TH!M1508,2)="15"),TK!$E$7=TH!F1508),"x","")</f>
        <v/>
      </c>
      <c r="AA1508" s="55" t="str">
        <f>IF(AND(B1508&lt;=NKC!$N$8,B1508&gt;=NKC!$M$8),"x","")</f>
        <v/>
      </c>
    </row>
    <row r="1509" spans="1:27" s="226" customFormat="1" ht="15.75" customHeight="1">
      <c r="A1509" s="219" t="str">
        <f>IF(B1509&lt;&gt;"",IF(AND(B1509&gt;=_TM1,B1509&lt;=_TM2,OR(TH!L1509="1111",TH!M1509="1111")),TH!D1509,""),"")</f>
        <v/>
      </c>
      <c r="B1509" s="36" t="str">
        <f t="shared" si="57"/>
        <v/>
      </c>
      <c r="C1509" s="37"/>
      <c r="D1509" s="37"/>
      <c r="E1509" s="37"/>
      <c r="F1509" s="40"/>
      <c r="G1509" s="580"/>
      <c r="H1509" s="45"/>
      <c r="I1509" s="277"/>
      <c r="J1509" s="277"/>
      <c r="K1509" s="38"/>
      <c r="L1509" s="39"/>
      <c r="M1509" s="39"/>
      <c r="N1509" s="55" t="str">
        <f>IF(AND('331-CT'!$E$7=TH!H1509,OR(L1509="331",M1509="331")),"x","")</f>
        <v/>
      </c>
      <c r="O1509" s="55" t="str">
        <f>IF(AND($B1509&gt;='111'!$N$11,$B1509&lt;='111'!$O$11,OR($L1509=$O$7,$M1509=$O$7)),"x","")</f>
        <v/>
      </c>
      <c r="P1509" s="55" t="str">
        <f>IF(AND($L1509=$O$7,$B1509&lt;'111'!$N$11),"x","")</f>
        <v/>
      </c>
      <c r="Q1509" s="55" t="str">
        <f>IF(AND($M1509=$O$7,$B1509&lt;'111'!$N$11),"x","")</f>
        <v/>
      </c>
      <c r="R1509" s="55" t="str">
        <f>IF(ISERROR(FIND('112'!$M$9,G1509,1)),"",IF((AND(FIND('112'!$M$9,G1509,1)&gt;=1,$B1509&gt;='112'!$N$8,$B1509&lt;='112'!$O$8,OR($L1509='112'!$I$6,$M1509='112'!$I$6))),"x",""))</f>
        <v/>
      </c>
      <c r="S1509" s="55" t="str">
        <f>IF(ISERROR(FIND('112'!$M$9,G1509,1)),"",IF((AND(LEFT(G1509,2)=LEFT('112'!$M$9,2),B1509&lt;'112'!$N$8,$L1509='112'!$I$6)),"x",""))</f>
        <v/>
      </c>
      <c r="T1509" s="55" t="str">
        <f>IF(ISERROR(FIND('112'!$M$9,G1509,1)),"",IF((AND(RIGHT(G1509,2)=RIGHT('112'!$M$9,2),B1509&lt;'112'!$N$8,$M1509='112'!$I$6)),"x",""))</f>
        <v/>
      </c>
      <c r="U1509" s="55" t="str">
        <f>IF(AND('3411-CT'!$F$9=H1509,OR(LEFT(L1509,3)=$U$7,LEFT(M1509,3)=$U$7)),"x","")</f>
        <v/>
      </c>
      <c r="V1509" s="55" t="str">
        <f>IF(OR(TH!L1509=TH!$V$7,M1509=TH!$V$7),"x","")</f>
        <v/>
      </c>
      <c r="W1509" s="55" t="str">
        <f>IF(AND(OR(L1509="131",M1509="131"),H1509='131-CT'!$E$7),"x","")</f>
        <v/>
      </c>
      <c r="X1509" s="55" t="str">
        <f>IF(AND(B1509&gt;='IN-NX'!$P$3,B1509&lt;='IN-NX'!$Q$3,'IN-NX'!$D$7=D1509,OR(LEFT(TH!L1509,2)="15",LEFT(TH!M1509,2)="15")),"x","")</f>
        <v/>
      </c>
      <c r="Y1509" s="55" t="str">
        <f>IF(AND(OR(LEFT(TH!L1509,2)="15",LEFT(TH!M1509,2)="15"),'152-CT'!$J$8=TH!F1509),"x","")</f>
        <v/>
      </c>
      <c r="Z1509" s="55" t="str">
        <f>IF(AND(OR(LEFT(TH!L1509,2)="15",LEFT(TH!M1509,2)="15"),TK!$E$7=TH!F1509),"x","")</f>
        <v/>
      </c>
      <c r="AA1509" s="55" t="str">
        <f>IF(AND(B1509&lt;=NKC!$N$8,B1509&gt;=NKC!$M$8),"x","")</f>
        <v/>
      </c>
    </row>
    <row r="1510" spans="1:27" s="226" customFormat="1" ht="15.75" customHeight="1">
      <c r="A1510" s="219" t="str">
        <f>IF(B1510&lt;&gt;"",IF(AND(B1510&gt;=_TM1,B1510&lt;=_TM2,OR(TH!L1510="1111",TH!M1510="1111")),TH!D1510,""),"")</f>
        <v/>
      </c>
      <c r="B1510" s="36" t="str">
        <f t="shared" si="57"/>
        <v/>
      </c>
      <c r="C1510" s="37"/>
      <c r="D1510" s="37"/>
      <c r="E1510" s="37"/>
      <c r="F1510" s="40"/>
      <c r="G1510" s="580"/>
      <c r="H1510" s="45"/>
      <c r="I1510" s="277"/>
      <c r="J1510" s="277"/>
      <c r="K1510" s="38"/>
      <c r="L1510" s="39"/>
      <c r="M1510" s="39"/>
      <c r="N1510" s="55" t="str">
        <f>IF(AND('331-CT'!$E$7=TH!H1510,OR(L1510="331",M1510="331")),"x","")</f>
        <v/>
      </c>
      <c r="O1510" s="55" t="str">
        <f>IF(AND($B1510&gt;='111'!$N$11,$B1510&lt;='111'!$O$11,OR($L1510=$O$7,$M1510=$O$7)),"x","")</f>
        <v/>
      </c>
      <c r="P1510" s="55" t="str">
        <f>IF(AND($L1510=$O$7,$B1510&lt;'111'!$N$11),"x","")</f>
        <v/>
      </c>
      <c r="Q1510" s="55" t="str">
        <f>IF(AND($M1510=$O$7,$B1510&lt;'111'!$N$11),"x","")</f>
        <v/>
      </c>
      <c r="R1510" s="55" t="str">
        <f>IF(ISERROR(FIND('112'!$M$9,G1510,1)),"",IF((AND(FIND('112'!$M$9,G1510,1)&gt;=1,$B1510&gt;='112'!$N$8,$B1510&lt;='112'!$O$8,OR($L1510='112'!$I$6,$M1510='112'!$I$6))),"x",""))</f>
        <v/>
      </c>
      <c r="S1510" s="55" t="str">
        <f>IF(ISERROR(FIND('112'!$M$9,G1510,1)),"",IF((AND(LEFT(G1510,2)=LEFT('112'!$M$9,2),B1510&lt;'112'!$N$8,$L1510='112'!$I$6)),"x",""))</f>
        <v/>
      </c>
      <c r="T1510" s="55" t="str">
        <f>IF(ISERROR(FIND('112'!$M$9,G1510,1)),"",IF((AND(RIGHT(G1510,2)=RIGHT('112'!$M$9,2),B1510&lt;'112'!$N$8,$M1510='112'!$I$6)),"x",""))</f>
        <v/>
      </c>
      <c r="U1510" s="55" t="str">
        <f>IF(AND('3411-CT'!$F$9=H1510,OR(LEFT(L1510,3)=$U$7,LEFT(M1510,3)=$U$7)),"x","")</f>
        <v/>
      </c>
      <c r="V1510" s="55" t="str">
        <f>IF(OR(TH!L1510=TH!$V$7,M1510=TH!$V$7),"x","")</f>
        <v/>
      </c>
      <c r="W1510" s="55" t="str">
        <f>IF(AND(OR(L1510="131",M1510="131"),H1510='131-CT'!$E$7),"x","")</f>
        <v/>
      </c>
      <c r="X1510" s="55" t="str">
        <f>IF(AND(B1510&gt;='IN-NX'!$P$3,B1510&lt;='IN-NX'!$Q$3,'IN-NX'!$D$7=D1510,OR(LEFT(TH!L1510,2)="15",LEFT(TH!M1510,2)="15")),"x","")</f>
        <v/>
      </c>
      <c r="Y1510" s="55" t="str">
        <f>IF(AND(OR(LEFT(TH!L1510,2)="15",LEFT(TH!M1510,2)="15"),'152-CT'!$J$8=TH!F1510),"x","")</f>
        <v/>
      </c>
      <c r="Z1510" s="55" t="str">
        <f>IF(AND(OR(LEFT(TH!L1510,2)="15",LEFT(TH!M1510,2)="15"),TK!$E$7=TH!F1510),"x","")</f>
        <v/>
      </c>
      <c r="AA1510" s="55" t="str">
        <f>IF(AND(B1510&lt;=NKC!$N$8,B1510&gt;=NKC!$M$8),"x","")</f>
        <v/>
      </c>
    </row>
    <row r="1511" spans="1:27" s="226" customFormat="1" ht="15.75" customHeight="1">
      <c r="A1511" s="219" t="str">
        <f>IF(B1511&lt;&gt;"",IF(AND(B1511&gt;=_TM1,B1511&lt;=_TM2,OR(TH!L1511="1111",TH!M1511="1111")),TH!D1511,""),"")</f>
        <v/>
      </c>
      <c r="B1511" s="36" t="str">
        <f t="shared" si="57"/>
        <v/>
      </c>
      <c r="C1511" s="37"/>
      <c r="D1511" s="37"/>
      <c r="E1511" s="205"/>
      <c r="F1511" s="206"/>
      <c r="G1511" s="40"/>
      <c r="H1511" s="45"/>
      <c r="I1511" s="277"/>
      <c r="J1511" s="277"/>
      <c r="K1511" s="38"/>
      <c r="L1511" s="208"/>
      <c r="M1511" s="208"/>
      <c r="N1511" s="55" t="str">
        <f>IF(AND('331-CT'!$E$7=TH!H1511,OR(L1511="331",M1511="331")),"x","")</f>
        <v/>
      </c>
      <c r="O1511" s="55" t="str">
        <f>IF(AND($B1511&gt;='111'!$N$11,$B1511&lt;='111'!$O$11,OR($L1511=$O$7,$M1511=$O$7)),"x","")</f>
        <v/>
      </c>
      <c r="P1511" s="55" t="str">
        <f>IF(AND($L1511=$O$7,$B1511&lt;'111'!$N$11),"x","")</f>
        <v/>
      </c>
      <c r="Q1511" s="55" t="str">
        <f>IF(AND($M1511=$O$7,$B1511&lt;'111'!$N$11),"x","")</f>
        <v/>
      </c>
      <c r="R1511" s="55" t="str">
        <f>IF(ISERROR(FIND('112'!$M$9,G1511,1)),"",IF((AND(FIND('112'!$M$9,G1511,1)&gt;=1,$B1511&gt;='112'!$N$8,$B1511&lt;='112'!$O$8,OR($L1511='112'!$I$6,$M1511='112'!$I$6))),"x",""))</f>
        <v/>
      </c>
      <c r="S1511" s="55" t="str">
        <f>IF(ISERROR(FIND('112'!$M$9,G1511,1)),"",IF((AND(LEFT(G1511,2)=LEFT('112'!$M$9,2),B1511&lt;'112'!$N$8,$L1511='112'!$I$6)),"x",""))</f>
        <v/>
      </c>
      <c r="T1511" s="55" t="str">
        <f>IF(ISERROR(FIND('112'!$M$9,G1511,1)),"",IF((AND(RIGHT(G1511,2)=RIGHT('112'!$M$9,2),B1511&lt;'112'!$N$8,$M1511='112'!$I$6)),"x",""))</f>
        <v/>
      </c>
      <c r="U1511" s="55" t="str">
        <f>IF(AND('3411-CT'!$F$9=H1511,OR(LEFT(L1511,3)=$U$7,LEFT(M1511,3)=$U$7)),"x","")</f>
        <v/>
      </c>
      <c r="V1511" s="55" t="str">
        <f>IF(OR(TH!L1511=TH!$V$7,M1511=TH!$V$7),"x","")</f>
        <v/>
      </c>
      <c r="W1511" s="55" t="str">
        <f>IF(AND(OR(L1511="131",M1511="131"),H1511='131-CT'!$E$7),"x","")</f>
        <v/>
      </c>
      <c r="X1511" s="55" t="str">
        <f>IF(AND(B1511&gt;='IN-NX'!$P$3,B1511&lt;='IN-NX'!$Q$3,'IN-NX'!$D$7=D1511,OR(LEFT(TH!L1511,2)="15",LEFT(TH!M1511,2)="15")),"x","")</f>
        <v/>
      </c>
      <c r="Y1511" s="55" t="str">
        <f>IF(AND(OR(LEFT(TH!L1511,2)="15",LEFT(TH!M1511,2)="15"),'152-CT'!$J$8=TH!F1511),"x","")</f>
        <v/>
      </c>
      <c r="Z1511" s="55" t="str">
        <f>IF(AND(OR(LEFT(TH!L1511,2)="15",LEFT(TH!M1511,2)="15"),TK!$E$7=TH!F1511),"x","")</f>
        <v/>
      </c>
      <c r="AA1511" s="55" t="str">
        <f>IF(AND(B1511&lt;=NKC!$N$8,B1511&gt;=NKC!$M$8),"x","")</f>
        <v/>
      </c>
    </row>
    <row r="1512" spans="1:27" ht="15.75" customHeight="1">
      <c r="A1512" s="219" t="str">
        <f>IF(B1512&lt;&gt;"",IF(AND(B1512&gt;=_TM1,B1512&lt;=_TM2,OR(TH!L1512="1111",TH!M1512="1111")),TH!D1512,""),"")</f>
        <v/>
      </c>
      <c r="B1512" s="36" t="str">
        <f t="shared" si="57"/>
        <v/>
      </c>
      <c r="C1512" s="37"/>
      <c r="D1512" s="205"/>
      <c r="E1512" s="205"/>
      <c r="F1512" s="206"/>
      <c r="G1512" s="206"/>
      <c r="H1512" s="207"/>
      <c r="I1512" s="277"/>
      <c r="J1512" s="277"/>
      <c r="K1512" s="38"/>
      <c r="L1512" s="208"/>
      <c r="M1512" s="208"/>
      <c r="N1512" s="55" t="str">
        <f>IF(AND('331-CT'!$E$7=TH!H1512,OR(L1512="331",M1512="331")),"x","")</f>
        <v/>
      </c>
      <c r="O1512" s="55" t="str">
        <f>IF(AND($B1512&gt;='111'!$N$11,$B1512&lt;='111'!$O$11,OR($L1512=$O$7,$M1512=$O$7)),"x","")</f>
        <v/>
      </c>
      <c r="P1512" s="55" t="str">
        <f>IF(AND($L1512=$O$7,$B1512&lt;'111'!$N$11),"x","")</f>
        <v/>
      </c>
      <c r="Q1512" s="55" t="str">
        <f>IF(AND($M1512=$O$7,$B1512&lt;'111'!$N$11),"x","")</f>
        <v/>
      </c>
      <c r="R1512" s="55" t="str">
        <f>IF(ISERROR(FIND('112'!$M$9,G1512,1)),"",IF((AND(FIND('112'!$M$9,G1512,1)&gt;=1,$B1512&gt;='112'!$N$8,$B1512&lt;='112'!$O$8,OR($L1512='112'!$I$6,$M1512='112'!$I$6))),"x",""))</f>
        <v/>
      </c>
      <c r="S1512" s="55" t="str">
        <f>IF(ISERROR(FIND('112'!$M$9,G1512,1)),"",IF((AND(LEFT(G1512,2)=LEFT('112'!$M$9,2),B1512&lt;'112'!$N$8,$L1512='112'!$I$6)),"x",""))</f>
        <v/>
      </c>
      <c r="T1512" s="55" t="str">
        <f>IF(ISERROR(FIND('112'!$M$9,G1512,1)),"",IF((AND(RIGHT(G1512,2)=RIGHT('112'!$M$9,2),B1512&lt;'112'!$N$8,$M1512='112'!$I$6)),"x",""))</f>
        <v/>
      </c>
      <c r="U1512" s="55" t="str">
        <f>IF(AND('3411-CT'!$F$9=H1512,OR(LEFT(L1512,3)=$U$7,LEFT(M1512,3)=$U$7)),"x","")</f>
        <v/>
      </c>
      <c r="V1512" s="55" t="str">
        <f>IF(OR(TH!L1512=TH!$V$7,M1512=TH!$V$7),"x","")</f>
        <v/>
      </c>
      <c r="W1512" s="55" t="str">
        <f>IF(AND(OR(L1512="131",M1512="131"),H1512='131-CT'!$E$7),"x","")</f>
        <v/>
      </c>
      <c r="X1512" s="55" t="str">
        <f>IF(AND(B1512&gt;='IN-NX'!$P$3,B1512&lt;='IN-NX'!$Q$3,'IN-NX'!$D$7=D1512,OR(LEFT(TH!L1512,2)="15",LEFT(TH!M1512,2)="15")),"x","")</f>
        <v/>
      </c>
      <c r="Y1512" s="55" t="str">
        <f>IF(AND(OR(LEFT(TH!L1512,2)="15",LEFT(TH!M1512,2)="15"),'152-CT'!$J$8=TH!F1512),"x","")</f>
        <v/>
      </c>
      <c r="Z1512" s="55" t="str">
        <f>IF(AND(OR(LEFT(TH!L1512,2)="15",LEFT(TH!M1512,2)="15"),TK!$E$7=TH!F1512),"x","")</f>
        <v/>
      </c>
      <c r="AA1512" s="55" t="str">
        <f>IF(AND(B1512&lt;=NKC!$N$8,B1512&gt;=NKC!$M$8),"x","")</f>
        <v/>
      </c>
    </row>
    <row r="1513" spans="1:27" ht="15.75" customHeight="1">
      <c r="A1513" s="219" t="str">
        <f>IF(B1513&lt;&gt;"",IF(AND(B1513&gt;=_TM1,B1513&lt;=_TM2,OR(TH!L1513="1111",TH!M1513="1111")),TH!D1513,""),"")</f>
        <v/>
      </c>
      <c r="B1513" s="36" t="str">
        <f t="shared" si="57"/>
        <v/>
      </c>
      <c r="C1513" s="37"/>
      <c r="D1513" s="205"/>
      <c r="E1513" s="205"/>
      <c r="F1513" s="206"/>
      <c r="G1513" s="206"/>
      <c r="H1513" s="207"/>
      <c r="I1513" s="277"/>
      <c r="J1513" s="277"/>
      <c r="K1513" s="38"/>
      <c r="L1513" s="208"/>
      <c r="M1513" s="208"/>
      <c r="N1513" s="55" t="str">
        <f>IF(AND('331-CT'!$E$7=TH!H1513,OR(L1513="331",M1513="331")),"x","")</f>
        <v/>
      </c>
      <c r="O1513" s="55" t="str">
        <f>IF(AND($B1513&gt;='111'!$N$11,$B1513&lt;='111'!$O$11,OR($L1513=$O$7,$M1513=$O$7)),"x","")</f>
        <v/>
      </c>
      <c r="P1513" s="55" t="str">
        <f>IF(AND($L1513=$O$7,$B1513&lt;'111'!$N$11),"x","")</f>
        <v/>
      </c>
      <c r="Q1513" s="55" t="str">
        <f>IF(AND($M1513=$O$7,$B1513&lt;'111'!$N$11),"x","")</f>
        <v/>
      </c>
      <c r="R1513" s="55" t="str">
        <f>IF(ISERROR(FIND('112'!$M$9,G1513,1)),"",IF((AND(FIND('112'!$M$9,G1513,1)&gt;=1,$B1513&gt;='112'!$N$8,$B1513&lt;='112'!$O$8,OR($L1513='112'!$I$6,$M1513='112'!$I$6))),"x",""))</f>
        <v/>
      </c>
      <c r="S1513" s="55" t="str">
        <f>IF(ISERROR(FIND('112'!$M$9,G1513,1)),"",IF((AND(LEFT(G1513,2)=LEFT('112'!$M$9,2),B1513&lt;'112'!$N$8,$L1513='112'!$I$6)),"x",""))</f>
        <v/>
      </c>
      <c r="T1513" s="55" t="str">
        <f>IF(ISERROR(FIND('112'!$M$9,G1513,1)),"",IF((AND(RIGHT(G1513,2)=RIGHT('112'!$M$9,2),B1513&lt;'112'!$N$8,$M1513='112'!$I$6)),"x",""))</f>
        <v/>
      </c>
      <c r="U1513" s="55" t="str">
        <f>IF(AND('3411-CT'!$F$9=H1513,OR(LEFT(L1513,3)=$U$7,LEFT(M1513,3)=$U$7)),"x","")</f>
        <v/>
      </c>
      <c r="V1513" s="55" t="str">
        <f>IF(OR(TH!L1513=TH!$V$7,M1513=TH!$V$7),"x","")</f>
        <v/>
      </c>
      <c r="W1513" s="55" t="str">
        <f>IF(AND(OR(L1513="131",M1513="131"),H1513='131-CT'!$E$7),"x","")</f>
        <v/>
      </c>
      <c r="X1513" s="55" t="str">
        <f>IF(AND(B1513&gt;='IN-NX'!$P$3,B1513&lt;='IN-NX'!$Q$3,'IN-NX'!$D$7=D1513,OR(LEFT(TH!L1513,2)="15",LEFT(TH!M1513,2)="15")),"x","")</f>
        <v/>
      </c>
      <c r="Y1513" s="55" t="str">
        <f>IF(AND(OR(LEFT(TH!L1513,2)="15",LEFT(TH!M1513,2)="15"),'152-CT'!$J$8=TH!F1513),"x","")</f>
        <v/>
      </c>
      <c r="Z1513" s="55" t="str">
        <f>IF(AND(OR(LEFT(TH!L1513,2)="15",LEFT(TH!M1513,2)="15"),TK!$E$7=TH!F1513),"x","")</f>
        <v/>
      </c>
      <c r="AA1513" s="55" t="str">
        <f>IF(AND(B1513&lt;=NKC!$N$8,B1513&gt;=NKC!$M$8),"x","")</f>
        <v/>
      </c>
    </row>
    <row r="1514" spans="1:27" ht="15.75" customHeight="1">
      <c r="A1514" s="219" t="str">
        <f>IF(B1514&lt;&gt;"",IF(AND(B1514&gt;=_TM1,B1514&lt;=_TM2,OR(TH!L1514="1111",TH!M1514="1111")),TH!D1514,""),"")</f>
        <v/>
      </c>
      <c r="B1514" s="36" t="str">
        <f t="shared" si="57"/>
        <v/>
      </c>
      <c r="C1514" s="37"/>
      <c r="D1514" s="205"/>
      <c r="E1514" s="205"/>
      <c r="F1514" s="206"/>
      <c r="G1514" s="206"/>
      <c r="H1514" s="207"/>
      <c r="I1514" s="277"/>
      <c r="J1514" s="277"/>
      <c r="K1514" s="38"/>
      <c r="L1514" s="208"/>
      <c r="M1514" s="208"/>
      <c r="N1514" s="55" t="str">
        <f>IF(AND('331-CT'!$E$7=TH!H1514,OR(L1514="331",M1514="331")),"x","")</f>
        <v/>
      </c>
      <c r="O1514" s="55" t="str">
        <f>IF(AND($B1514&gt;='111'!$N$11,$B1514&lt;='111'!$O$11,OR($L1514=$O$7,$M1514=$O$7)),"x","")</f>
        <v/>
      </c>
      <c r="P1514" s="55" t="str">
        <f>IF(AND($L1514=$O$7,$B1514&lt;'111'!$N$11),"x","")</f>
        <v/>
      </c>
      <c r="Q1514" s="55" t="str">
        <f>IF(AND($M1514=$O$7,$B1514&lt;'111'!$N$11),"x","")</f>
        <v/>
      </c>
      <c r="R1514" s="55" t="str">
        <f>IF(ISERROR(FIND('112'!$M$9,G1514,1)),"",IF((AND(FIND('112'!$M$9,G1514,1)&gt;=1,$B1514&gt;='112'!$N$8,$B1514&lt;='112'!$O$8,OR($L1514='112'!$I$6,$M1514='112'!$I$6))),"x",""))</f>
        <v/>
      </c>
      <c r="S1514" s="55" t="str">
        <f>IF(ISERROR(FIND('112'!$M$9,G1514,1)),"",IF((AND(LEFT(G1514,2)=LEFT('112'!$M$9,2),B1514&lt;'112'!$N$8,$L1514='112'!$I$6)),"x",""))</f>
        <v/>
      </c>
      <c r="T1514" s="55" t="str">
        <f>IF(ISERROR(FIND('112'!$M$9,G1514,1)),"",IF((AND(RIGHT(G1514,2)=RIGHT('112'!$M$9,2),B1514&lt;'112'!$N$8,$M1514='112'!$I$6)),"x",""))</f>
        <v/>
      </c>
      <c r="U1514" s="55" t="str">
        <f>IF(AND('3411-CT'!$F$9=H1514,OR(LEFT(L1514,3)=$U$7,LEFT(M1514,3)=$U$7)),"x","")</f>
        <v/>
      </c>
      <c r="V1514" s="55" t="str">
        <f>IF(OR(TH!L1514=TH!$V$7,M1514=TH!$V$7),"x","")</f>
        <v/>
      </c>
      <c r="W1514" s="55" t="str">
        <f>IF(AND(OR(L1514="131",M1514="131"),H1514='131-CT'!$E$7),"x","")</f>
        <v/>
      </c>
      <c r="X1514" s="55" t="str">
        <f>IF(AND(B1514&gt;='IN-NX'!$P$3,B1514&lt;='IN-NX'!$Q$3,'IN-NX'!$D$7=D1514,OR(LEFT(TH!L1514,2)="15",LEFT(TH!M1514,2)="15")),"x","")</f>
        <v/>
      </c>
      <c r="Y1514" s="55" t="str">
        <f>IF(AND(OR(LEFT(TH!L1514,2)="15",LEFT(TH!M1514,2)="15"),'152-CT'!$J$8=TH!F1514),"x","")</f>
        <v/>
      </c>
      <c r="Z1514" s="55" t="str">
        <f>IF(AND(OR(LEFT(TH!L1514,2)="15",LEFT(TH!M1514,2)="15"),TK!$E$7=TH!F1514),"x","")</f>
        <v/>
      </c>
      <c r="AA1514" s="55" t="str">
        <f>IF(AND(B1514&lt;=NKC!$N$8,B1514&gt;=NKC!$M$8),"x","")</f>
        <v/>
      </c>
    </row>
    <row r="1515" spans="1:27" ht="15.75" customHeight="1">
      <c r="A1515" s="219" t="str">
        <f>IF(B1515&lt;&gt;"",IF(AND(B1515&gt;=_TM1,B1515&lt;=_TM2,OR(TH!L1515="1111",TH!M1515="1111")),TH!D1515,""),"")</f>
        <v/>
      </c>
      <c r="B1515" s="36" t="str">
        <f t="shared" si="57"/>
        <v/>
      </c>
      <c r="C1515" s="37"/>
      <c r="D1515" s="205"/>
      <c r="E1515" s="205"/>
      <c r="F1515" s="206"/>
      <c r="G1515" s="206"/>
      <c r="H1515" s="207"/>
      <c r="I1515" s="277"/>
      <c r="J1515" s="277"/>
      <c r="K1515" s="38"/>
      <c r="L1515" s="208"/>
      <c r="M1515" s="208"/>
      <c r="N1515" s="55" t="str">
        <f>IF(AND('331-CT'!$E$7=TH!H1515,OR(L1515="331",M1515="331")),"x","")</f>
        <v/>
      </c>
      <c r="O1515" s="55" t="str">
        <f>IF(AND($B1515&gt;='111'!$N$11,$B1515&lt;='111'!$O$11,OR($L1515=$O$7,$M1515=$O$7)),"x","")</f>
        <v/>
      </c>
      <c r="P1515" s="55" t="str">
        <f>IF(AND($L1515=$O$7,$B1515&lt;'111'!$N$11),"x","")</f>
        <v/>
      </c>
      <c r="Q1515" s="55" t="str">
        <f>IF(AND($M1515=$O$7,$B1515&lt;'111'!$N$11),"x","")</f>
        <v/>
      </c>
      <c r="R1515" s="55" t="str">
        <f>IF(ISERROR(FIND('112'!$M$9,G1515,1)),"",IF((AND(FIND('112'!$M$9,G1515,1)&gt;=1,$B1515&gt;='112'!$N$8,$B1515&lt;='112'!$O$8,OR($L1515='112'!$I$6,$M1515='112'!$I$6))),"x",""))</f>
        <v/>
      </c>
      <c r="S1515" s="55" t="str">
        <f>IF(ISERROR(FIND('112'!$M$9,G1515,1)),"",IF((AND(LEFT(G1515,2)=LEFT('112'!$M$9,2),B1515&lt;'112'!$N$8,$L1515='112'!$I$6)),"x",""))</f>
        <v/>
      </c>
      <c r="T1515" s="55" t="str">
        <f>IF(ISERROR(FIND('112'!$M$9,G1515,1)),"",IF((AND(RIGHT(G1515,2)=RIGHT('112'!$M$9,2),B1515&lt;'112'!$N$8,$M1515='112'!$I$6)),"x",""))</f>
        <v/>
      </c>
      <c r="U1515" s="55" t="str">
        <f>IF(AND('3411-CT'!$F$9=H1515,OR(LEFT(L1515,3)=$U$7,LEFT(M1515,3)=$U$7)),"x","")</f>
        <v/>
      </c>
      <c r="V1515" s="55" t="str">
        <f>IF(OR(TH!L1515=TH!$V$7,M1515=TH!$V$7),"x","")</f>
        <v/>
      </c>
      <c r="W1515" s="55" t="str">
        <f>IF(AND(OR(L1515="131",M1515="131"),H1515='131-CT'!$E$7),"x","")</f>
        <v/>
      </c>
      <c r="X1515" s="55" t="str">
        <f>IF(AND(B1515&gt;='IN-NX'!$P$3,B1515&lt;='IN-NX'!$Q$3,'IN-NX'!$D$7=D1515,OR(LEFT(TH!L1515,2)="15",LEFT(TH!M1515,2)="15")),"x","")</f>
        <v/>
      </c>
      <c r="Y1515" s="55" t="str">
        <f>IF(AND(OR(LEFT(TH!L1515,2)="15",LEFT(TH!M1515,2)="15"),'152-CT'!$J$8=TH!F1515),"x","")</f>
        <v/>
      </c>
      <c r="Z1515" s="55" t="str">
        <f>IF(AND(OR(LEFT(TH!L1515,2)="15",LEFT(TH!M1515,2)="15"),TK!$E$7=TH!F1515),"x","")</f>
        <v/>
      </c>
      <c r="AA1515" s="55" t="str">
        <f>IF(AND(B1515&lt;=NKC!$N$8,B1515&gt;=NKC!$M$8),"x","")</f>
        <v/>
      </c>
    </row>
    <row r="1516" spans="1:27" ht="15.75" customHeight="1">
      <c r="A1516" s="219" t="str">
        <f>IF(B1516&lt;&gt;"",IF(AND(B1516&gt;=_TM1,B1516&lt;=_TM2,OR(TH!L1516="1111",TH!M1516="1111")),TH!D1516,""),"")</f>
        <v/>
      </c>
      <c r="B1516" s="36" t="str">
        <f t="shared" si="57"/>
        <v/>
      </c>
      <c r="C1516" s="37"/>
      <c r="D1516" s="205"/>
      <c r="E1516" s="205"/>
      <c r="F1516" s="206"/>
      <c r="G1516" s="206"/>
      <c r="H1516" s="207"/>
      <c r="I1516" s="277"/>
      <c r="J1516" s="277"/>
      <c r="K1516" s="38"/>
      <c r="L1516" s="208"/>
      <c r="M1516" s="208"/>
      <c r="N1516" s="55" t="str">
        <f>IF(AND('331-CT'!$E$7=TH!H1516,OR(L1516="331",M1516="331")),"x","")</f>
        <v/>
      </c>
      <c r="O1516" s="55" t="str">
        <f>IF(AND($B1516&gt;='111'!$N$11,$B1516&lt;='111'!$O$11,OR($L1516=$O$7,$M1516=$O$7)),"x","")</f>
        <v/>
      </c>
      <c r="P1516" s="55" t="str">
        <f>IF(AND($L1516=$O$7,$B1516&lt;'111'!$N$11),"x","")</f>
        <v/>
      </c>
      <c r="Q1516" s="55" t="str">
        <f>IF(AND($M1516=$O$7,$B1516&lt;'111'!$N$11),"x","")</f>
        <v/>
      </c>
      <c r="R1516" s="55" t="str">
        <f>IF(ISERROR(FIND('112'!$M$9,G1516,1)),"",IF((AND(FIND('112'!$M$9,G1516,1)&gt;=1,$B1516&gt;='112'!$N$8,$B1516&lt;='112'!$O$8,OR($L1516='112'!$I$6,$M1516='112'!$I$6))),"x",""))</f>
        <v/>
      </c>
      <c r="S1516" s="55" t="str">
        <f>IF(ISERROR(FIND('112'!$M$9,G1516,1)),"",IF((AND(LEFT(G1516,2)=LEFT('112'!$M$9,2),B1516&lt;'112'!$N$8,$L1516='112'!$I$6)),"x",""))</f>
        <v/>
      </c>
      <c r="T1516" s="55" t="str">
        <f>IF(ISERROR(FIND('112'!$M$9,G1516,1)),"",IF((AND(RIGHT(G1516,2)=RIGHT('112'!$M$9,2),B1516&lt;'112'!$N$8,$M1516='112'!$I$6)),"x",""))</f>
        <v/>
      </c>
      <c r="U1516" s="55" t="str">
        <f>IF(AND('3411-CT'!$F$9=H1516,OR(LEFT(L1516,3)=$U$7,LEFT(M1516,3)=$U$7)),"x","")</f>
        <v/>
      </c>
      <c r="V1516" s="55" t="str">
        <f>IF(OR(TH!L1516=TH!$V$7,M1516=TH!$V$7),"x","")</f>
        <v/>
      </c>
      <c r="W1516" s="55" t="str">
        <f>IF(AND(OR(L1516="131",M1516="131"),H1516='131-CT'!$E$7),"x","")</f>
        <v/>
      </c>
      <c r="X1516" s="55" t="str">
        <f>IF(AND(B1516&gt;='IN-NX'!$P$3,B1516&lt;='IN-NX'!$Q$3,'IN-NX'!$D$7=D1516,OR(LEFT(TH!L1516,2)="15",LEFT(TH!M1516,2)="15")),"x","")</f>
        <v/>
      </c>
      <c r="Y1516" s="55" t="str">
        <f>IF(AND(OR(LEFT(TH!L1516,2)="15",LEFT(TH!M1516,2)="15"),'152-CT'!$J$8=TH!F1516),"x","")</f>
        <v/>
      </c>
      <c r="Z1516" s="55" t="str">
        <f>IF(AND(OR(LEFT(TH!L1516,2)="15",LEFT(TH!M1516,2)="15"),TK!$E$7=TH!F1516),"x","")</f>
        <v/>
      </c>
      <c r="AA1516" s="55" t="str">
        <f>IF(AND(B1516&lt;=NKC!$N$8,B1516&gt;=NKC!$M$8),"x","")</f>
        <v/>
      </c>
    </row>
    <row r="1517" spans="1:27" ht="15.75" customHeight="1">
      <c r="A1517" s="219" t="str">
        <f>IF(B1517&lt;&gt;"",IF(AND(B1517&gt;=_TM1,B1517&lt;=_TM2,OR(TH!L1517="1111",TH!M1517="1111")),TH!D1517,""),"")</f>
        <v/>
      </c>
      <c r="B1517" s="36" t="str">
        <f t="shared" si="57"/>
        <v/>
      </c>
      <c r="C1517" s="37"/>
      <c r="D1517" s="205"/>
      <c r="E1517" s="205"/>
      <c r="F1517" s="206"/>
      <c r="G1517" s="206"/>
      <c r="H1517" s="207"/>
      <c r="I1517" s="277"/>
      <c r="J1517" s="277"/>
      <c r="K1517" s="38"/>
      <c r="L1517" s="208"/>
      <c r="M1517" s="208"/>
      <c r="N1517" s="55" t="str">
        <f>IF(AND('331-CT'!$E$7=TH!H1517,OR(L1517="331",M1517="331")),"x","")</f>
        <v/>
      </c>
      <c r="O1517" s="55" t="str">
        <f>IF(AND($B1517&gt;='111'!$N$11,$B1517&lt;='111'!$O$11,OR($L1517=$O$7,$M1517=$O$7)),"x","")</f>
        <v/>
      </c>
      <c r="P1517" s="55" t="str">
        <f>IF(AND($L1517=$O$7,$B1517&lt;'111'!$N$11),"x","")</f>
        <v/>
      </c>
      <c r="Q1517" s="55" t="str">
        <f>IF(AND($M1517=$O$7,$B1517&lt;'111'!$N$11),"x","")</f>
        <v/>
      </c>
      <c r="R1517" s="55" t="str">
        <f>IF(ISERROR(FIND('112'!$M$9,G1517,1)),"",IF((AND(FIND('112'!$M$9,G1517,1)&gt;=1,$B1517&gt;='112'!$N$8,$B1517&lt;='112'!$O$8,OR($L1517='112'!$I$6,$M1517='112'!$I$6))),"x",""))</f>
        <v/>
      </c>
      <c r="S1517" s="55" t="str">
        <f>IF(ISERROR(FIND('112'!$M$9,G1517,1)),"",IF((AND(LEFT(G1517,2)=LEFT('112'!$M$9,2),B1517&lt;'112'!$N$8,$L1517='112'!$I$6)),"x",""))</f>
        <v/>
      </c>
      <c r="T1517" s="55" t="str">
        <f>IF(ISERROR(FIND('112'!$M$9,G1517,1)),"",IF((AND(RIGHT(G1517,2)=RIGHT('112'!$M$9,2),B1517&lt;'112'!$N$8,$M1517='112'!$I$6)),"x",""))</f>
        <v/>
      </c>
      <c r="U1517" s="55" t="str">
        <f>IF(AND('3411-CT'!$F$9=H1517,OR(LEFT(L1517,3)=$U$7,LEFT(M1517,3)=$U$7)),"x","")</f>
        <v/>
      </c>
      <c r="V1517" s="55" t="str">
        <f>IF(OR(TH!L1517=TH!$V$7,M1517=TH!$V$7),"x","")</f>
        <v/>
      </c>
      <c r="W1517" s="55" t="str">
        <f>IF(AND(OR(L1517="131",M1517="131"),H1517='131-CT'!$E$7),"x","")</f>
        <v/>
      </c>
      <c r="X1517" s="55" t="str">
        <f>IF(AND(B1517&gt;='IN-NX'!$P$3,B1517&lt;='IN-NX'!$Q$3,'IN-NX'!$D$7=D1517,OR(LEFT(TH!L1517,2)="15",LEFT(TH!M1517,2)="15")),"x","")</f>
        <v/>
      </c>
      <c r="Y1517" s="55" t="str">
        <f>IF(AND(OR(LEFT(TH!L1517,2)="15",LEFT(TH!M1517,2)="15"),'152-CT'!$J$8=TH!F1517),"x","")</f>
        <v/>
      </c>
      <c r="Z1517" s="55" t="str">
        <f>IF(AND(OR(LEFT(TH!L1517,2)="15",LEFT(TH!M1517,2)="15"),TK!$E$7=TH!F1517),"x","")</f>
        <v/>
      </c>
      <c r="AA1517" s="55" t="str">
        <f>IF(AND(B1517&lt;=NKC!$N$8,B1517&gt;=NKC!$M$8),"x","")</f>
        <v/>
      </c>
    </row>
    <row r="1518" spans="1:27" ht="15.75" customHeight="1">
      <c r="A1518" s="219" t="str">
        <f>IF(B1518&lt;&gt;"",IF(AND(B1518&gt;=_TM1,B1518&lt;=_TM2,OR(TH!L1518="1111",TH!M1518="1111")),TH!D1518,""),"")</f>
        <v/>
      </c>
      <c r="B1518" s="36" t="str">
        <f t="shared" si="57"/>
        <v/>
      </c>
      <c r="C1518" s="37"/>
      <c r="D1518" s="205"/>
      <c r="E1518" s="205"/>
      <c r="F1518" s="206"/>
      <c r="G1518" s="206"/>
      <c r="H1518" s="207"/>
      <c r="I1518" s="277"/>
      <c r="J1518" s="277"/>
      <c r="K1518" s="38"/>
      <c r="L1518" s="208"/>
      <c r="M1518" s="208"/>
      <c r="N1518" s="55" t="str">
        <f>IF(AND('331-CT'!$E$7=TH!H1518,OR(L1518="331",M1518="331")),"x","")</f>
        <v/>
      </c>
      <c r="O1518" s="55" t="str">
        <f>IF(AND($B1518&gt;='111'!$N$11,$B1518&lt;='111'!$O$11,OR($L1518=$O$7,$M1518=$O$7)),"x","")</f>
        <v/>
      </c>
      <c r="P1518" s="55" t="str">
        <f>IF(AND($L1518=$O$7,$B1518&lt;'111'!$N$11),"x","")</f>
        <v/>
      </c>
      <c r="Q1518" s="55" t="str">
        <f>IF(AND($M1518=$O$7,$B1518&lt;'111'!$N$11),"x","")</f>
        <v/>
      </c>
      <c r="R1518" s="55" t="str">
        <f>IF(ISERROR(FIND('112'!$M$9,G1518,1)),"",IF((AND(FIND('112'!$M$9,G1518,1)&gt;=1,$B1518&gt;='112'!$N$8,$B1518&lt;='112'!$O$8,OR($L1518='112'!$I$6,$M1518='112'!$I$6))),"x",""))</f>
        <v/>
      </c>
      <c r="S1518" s="55" t="str">
        <f>IF(ISERROR(FIND('112'!$M$9,G1518,1)),"",IF((AND(LEFT(G1518,2)=LEFT('112'!$M$9,2),B1518&lt;'112'!$N$8,$L1518='112'!$I$6)),"x",""))</f>
        <v/>
      </c>
      <c r="T1518" s="55" t="str">
        <f>IF(ISERROR(FIND('112'!$M$9,G1518,1)),"",IF((AND(RIGHT(G1518,2)=RIGHT('112'!$M$9,2),B1518&lt;'112'!$N$8,$M1518='112'!$I$6)),"x",""))</f>
        <v/>
      </c>
      <c r="U1518" s="55" t="str">
        <f>IF(AND('3411-CT'!$F$9=H1518,OR(LEFT(L1518,3)=$U$7,LEFT(M1518,3)=$U$7)),"x","")</f>
        <v/>
      </c>
      <c r="V1518" s="55" t="str">
        <f>IF(OR(TH!L1518=TH!$V$7,M1518=TH!$V$7),"x","")</f>
        <v/>
      </c>
      <c r="W1518" s="55" t="str">
        <f>IF(AND(OR(L1518="131",M1518="131"),H1518='131-CT'!$E$7),"x","")</f>
        <v/>
      </c>
      <c r="X1518" s="55" t="str">
        <f>IF(AND(B1518&gt;='IN-NX'!$P$3,B1518&lt;='IN-NX'!$Q$3,'IN-NX'!$D$7=D1518,OR(LEFT(TH!L1518,2)="15",LEFT(TH!M1518,2)="15")),"x","")</f>
        <v/>
      </c>
      <c r="Y1518" s="55" t="str">
        <f>IF(AND(OR(LEFT(TH!L1518,2)="15",LEFT(TH!M1518,2)="15"),'152-CT'!$J$8=TH!F1518),"x","")</f>
        <v/>
      </c>
      <c r="Z1518" s="55" t="str">
        <f>IF(AND(OR(LEFT(TH!L1518,2)="15",LEFT(TH!M1518,2)="15"),TK!$E$7=TH!F1518),"x","")</f>
        <v/>
      </c>
      <c r="AA1518" s="55" t="str">
        <f>IF(AND(B1518&lt;=NKC!$N$8,B1518&gt;=NKC!$M$8),"x","")</f>
        <v/>
      </c>
    </row>
    <row r="1519" spans="1:27" ht="15.75" customHeight="1">
      <c r="A1519" s="219" t="str">
        <f>IF(B1519&lt;&gt;"",IF(AND(B1519&gt;=_TM1,B1519&lt;=_TM2,OR(TH!L1519="1111",TH!M1519="1111")),TH!D1519,""),"")</f>
        <v/>
      </c>
      <c r="B1519" s="36" t="str">
        <f t="shared" si="57"/>
        <v/>
      </c>
      <c r="C1519" s="37"/>
      <c r="D1519" s="37"/>
      <c r="E1519" s="37"/>
      <c r="F1519" s="40"/>
      <c r="G1519" s="580"/>
      <c r="H1519" s="45"/>
      <c r="I1519" s="277"/>
      <c r="J1519" s="277"/>
      <c r="K1519" s="38"/>
      <c r="L1519" s="208"/>
      <c r="M1519" s="39"/>
      <c r="N1519" s="55" t="str">
        <f>IF(AND('331-CT'!$E$7=TH!H1519,OR(L1519="331",M1519="331")),"x","")</f>
        <v/>
      </c>
      <c r="O1519" s="55" t="str">
        <f>IF(AND($B1519&gt;='111'!$N$11,$B1519&lt;='111'!$O$11,OR($L1519=$O$7,$M1519=$O$7)),"x","")</f>
        <v/>
      </c>
      <c r="P1519" s="55" t="str">
        <f>IF(AND($L1519=$O$7,$B1519&lt;'111'!$N$11),"x","")</f>
        <v/>
      </c>
      <c r="Q1519" s="55" t="str">
        <f>IF(AND($M1519=$O$7,$B1519&lt;'111'!$N$11),"x","")</f>
        <v/>
      </c>
      <c r="R1519" s="55" t="str">
        <f>IF(ISERROR(FIND('112'!$M$9,G1519,1)),"",IF((AND(FIND('112'!$M$9,G1519,1)&gt;=1,$B1519&gt;='112'!$N$8,$B1519&lt;='112'!$O$8,OR($L1519='112'!$I$6,$M1519='112'!$I$6))),"x",""))</f>
        <v/>
      </c>
      <c r="S1519" s="55" t="str">
        <f>IF(ISERROR(FIND('112'!$M$9,G1519,1)),"",IF((AND(LEFT(G1519,2)=LEFT('112'!$M$9,2),B1519&lt;'112'!$N$8,$L1519='112'!$I$6)),"x",""))</f>
        <v/>
      </c>
      <c r="T1519" s="55" t="str">
        <f>IF(ISERROR(FIND('112'!$M$9,G1519,1)),"",IF((AND(RIGHT(G1519,2)=RIGHT('112'!$M$9,2),B1519&lt;'112'!$N$8,$M1519='112'!$I$6)),"x",""))</f>
        <v/>
      </c>
      <c r="U1519" s="55" t="str">
        <f>IF(AND('3411-CT'!$F$9=H1519,OR(LEFT(L1519,3)=$U$7,LEFT(M1519,3)=$U$7)),"x","")</f>
        <v/>
      </c>
      <c r="V1519" s="55" t="str">
        <f>IF(OR(TH!L1519=TH!$V$7,M1519=TH!$V$7),"x","")</f>
        <v/>
      </c>
      <c r="W1519" s="55" t="str">
        <f>IF(AND(OR(L1519="131",M1519="131"),H1519='131-CT'!$E$7),"x","")</f>
        <v/>
      </c>
      <c r="X1519" s="55" t="str">
        <f>IF(AND(B1519&gt;='IN-NX'!$P$3,B1519&lt;='IN-NX'!$Q$3,'IN-NX'!$D$7=D1519,OR(LEFT(TH!L1519,2)="15",LEFT(TH!M1519,2)="15")),"x","")</f>
        <v/>
      </c>
      <c r="Y1519" s="55" t="str">
        <f>IF(AND(OR(LEFT(TH!L1519,2)="15",LEFT(TH!M1519,2)="15"),'152-CT'!$J$8=TH!F1519),"x","")</f>
        <v/>
      </c>
      <c r="Z1519" s="55" t="str">
        <f>IF(AND(OR(LEFT(TH!L1519,2)="15",LEFT(TH!M1519,2)="15"),TK!$E$7=TH!F1519),"x","")</f>
        <v/>
      </c>
      <c r="AA1519" s="55" t="str">
        <f>IF(AND(B1519&lt;=NKC!$N$8,B1519&gt;=NKC!$M$8),"x","")</f>
        <v/>
      </c>
    </row>
    <row r="1520" spans="1:27" ht="15.75" customHeight="1">
      <c r="A1520" s="219" t="str">
        <f>IF(B1520&lt;&gt;"",IF(AND(B1520&gt;=_TM1,B1520&lt;=_TM2,OR(TH!L1520="1111",TH!M1520="1111")),TH!D1520,""),"")</f>
        <v/>
      </c>
      <c r="B1520" s="36" t="str">
        <f t="shared" si="57"/>
        <v/>
      </c>
      <c r="C1520" s="37"/>
      <c r="D1520" s="37"/>
      <c r="E1520" s="37"/>
      <c r="F1520" s="40"/>
      <c r="G1520" s="580"/>
      <c r="H1520" s="45"/>
      <c r="I1520" s="277"/>
      <c r="J1520" s="277"/>
      <c r="K1520" s="38"/>
      <c r="L1520" s="208"/>
      <c r="M1520" s="39"/>
      <c r="N1520" s="55" t="str">
        <f>IF(AND('331-CT'!$E$7=TH!H1520,OR(L1520="331",M1520="331")),"x","")</f>
        <v/>
      </c>
      <c r="O1520" s="55" t="str">
        <f>IF(AND($B1520&gt;='111'!$N$11,$B1520&lt;='111'!$O$11,OR($L1520=$O$7,$M1520=$O$7)),"x","")</f>
        <v/>
      </c>
      <c r="P1520" s="55" t="str">
        <f>IF(AND($L1520=$O$7,$B1520&lt;'111'!$N$11),"x","")</f>
        <v/>
      </c>
      <c r="Q1520" s="55" t="str">
        <f>IF(AND($M1520=$O$7,$B1520&lt;'111'!$N$11),"x","")</f>
        <v/>
      </c>
      <c r="R1520" s="55" t="str">
        <f>IF(ISERROR(FIND('112'!$M$9,G1520,1)),"",IF((AND(FIND('112'!$M$9,G1520,1)&gt;=1,$B1520&gt;='112'!$N$8,$B1520&lt;='112'!$O$8,OR($L1520='112'!$I$6,$M1520='112'!$I$6))),"x",""))</f>
        <v/>
      </c>
      <c r="S1520" s="55" t="str">
        <f>IF(ISERROR(FIND('112'!$M$9,G1520,1)),"",IF((AND(LEFT(G1520,2)=LEFT('112'!$M$9,2),B1520&lt;'112'!$N$8,$L1520='112'!$I$6)),"x",""))</f>
        <v/>
      </c>
      <c r="T1520" s="55" t="str">
        <f>IF(ISERROR(FIND('112'!$M$9,G1520,1)),"",IF((AND(RIGHT(G1520,2)=RIGHT('112'!$M$9,2),B1520&lt;'112'!$N$8,$M1520='112'!$I$6)),"x",""))</f>
        <v/>
      </c>
      <c r="U1520" s="55" t="str">
        <f>IF(AND('3411-CT'!$F$9=H1520,OR(LEFT(L1520,3)=$U$7,LEFT(M1520,3)=$U$7)),"x","")</f>
        <v/>
      </c>
      <c r="V1520" s="55" t="str">
        <f>IF(OR(TH!L1520=TH!$V$7,M1520=TH!$V$7),"x","")</f>
        <v/>
      </c>
      <c r="W1520" s="55" t="str">
        <f>IF(AND(OR(L1520="131",M1520="131"),H1520='131-CT'!$E$7),"x","")</f>
        <v/>
      </c>
      <c r="X1520" s="55" t="str">
        <f>IF(AND(B1520&gt;='IN-NX'!$P$3,B1520&lt;='IN-NX'!$Q$3,'IN-NX'!$D$7=D1520,OR(LEFT(TH!L1520,2)="15",LEFT(TH!M1520,2)="15")),"x","")</f>
        <v/>
      </c>
      <c r="Y1520" s="55" t="str">
        <f>IF(AND(OR(LEFT(TH!L1520,2)="15",LEFT(TH!M1520,2)="15"),'152-CT'!$J$8=TH!F1520),"x","")</f>
        <v/>
      </c>
      <c r="Z1520" s="55" t="str">
        <f>IF(AND(OR(LEFT(TH!L1520,2)="15",LEFT(TH!M1520,2)="15"),TK!$E$7=TH!F1520),"x","")</f>
        <v/>
      </c>
      <c r="AA1520" s="55" t="str">
        <f>IF(AND(B1520&lt;=NKC!$N$8,B1520&gt;=NKC!$M$8),"x","")</f>
        <v/>
      </c>
    </row>
    <row r="1521" spans="1:27" ht="15.75" customHeight="1">
      <c r="A1521" s="219" t="str">
        <f>IF(B1521&lt;&gt;"",IF(AND(B1521&gt;=_TM1,B1521&lt;=_TM2,OR(TH!L1521="1111",TH!M1521="1111")),TH!D1521,""),"")</f>
        <v/>
      </c>
      <c r="B1521" s="36" t="str">
        <f t="shared" si="57"/>
        <v/>
      </c>
      <c r="C1521" s="37"/>
      <c r="D1521" s="205"/>
      <c r="E1521" s="205"/>
      <c r="F1521" s="40"/>
      <c r="G1521" s="40"/>
      <c r="H1521" s="45"/>
      <c r="I1521" s="277"/>
      <c r="J1521" s="277"/>
      <c r="K1521" s="38"/>
      <c r="L1521" s="39"/>
      <c r="M1521" s="39"/>
      <c r="N1521" s="55" t="str">
        <f>IF(AND('331-CT'!$E$7=TH!H1521,OR(L1521="331",M1521="331")),"x","")</f>
        <v/>
      </c>
      <c r="O1521" s="55" t="str">
        <f>IF(AND($B1521&gt;='111'!$N$11,$B1521&lt;='111'!$O$11,OR($L1521=$O$7,$M1521=$O$7)),"x","")</f>
        <v/>
      </c>
      <c r="P1521" s="55" t="str">
        <f>IF(AND($L1521=$O$7,$B1521&lt;'111'!$N$11),"x","")</f>
        <v/>
      </c>
      <c r="Q1521" s="55" t="str">
        <f>IF(AND($M1521=$O$7,$B1521&lt;'111'!$N$11),"x","")</f>
        <v/>
      </c>
      <c r="R1521" s="55" t="str">
        <f>IF(ISERROR(FIND('112'!$M$9,G1521,1)),"",IF((AND(FIND('112'!$M$9,G1521,1)&gt;=1,$B1521&gt;='112'!$N$8,$B1521&lt;='112'!$O$8,OR($L1521='112'!$I$6,$M1521='112'!$I$6))),"x",""))</f>
        <v/>
      </c>
      <c r="S1521" s="55" t="str">
        <f>IF(ISERROR(FIND('112'!$M$9,G1521,1)),"",IF((AND(LEFT(G1521,2)=LEFT('112'!$M$9,2),B1521&lt;'112'!$N$8,$L1521='112'!$I$6)),"x",""))</f>
        <v/>
      </c>
      <c r="T1521" s="55" t="str">
        <f>IF(ISERROR(FIND('112'!$M$9,G1521,1)),"",IF((AND(RIGHT(G1521,2)=RIGHT('112'!$M$9,2),B1521&lt;'112'!$N$8,$M1521='112'!$I$6)),"x",""))</f>
        <v/>
      </c>
      <c r="U1521" s="55" t="str">
        <f>IF(AND('3411-CT'!$F$9=H1521,OR(LEFT(L1521,3)=$U$7,LEFT(M1521,3)=$U$7)),"x","")</f>
        <v/>
      </c>
      <c r="V1521" s="55" t="str">
        <f>IF(OR(TH!L1521=TH!$V$7,M1521=TH!$V$7),"x","")</f>
        <v/>
      </c>
      <c r="W1521" s="55" t="str">
        <f>IF(AND(OR(L1521="131",M1521="131"),H1521='131-CT'!$E$7),"x","")</f>
        <v/>
      </c>
      <c r="X1521" s="55" t="str">
        <f>IF(AND(B1521&gt;='IN-NX'!$P$3,B1521&lt;='IN-NX'!$Q$3,'IN-NX'!$D$7=D1521,OR(LEFT(TH!L1521,2)="15",LEFT(TH!M1521,2)="15")),"x","")</f>
        <v/>
      </c>
      <c r="Y1521" s="55" t="str">
        <f>IF(AND(OR(LEFT(TH!L1521,2)="15",LEFT(TH!M1521,2)="15"),'152-CT'!$J$8=TH!F1521),"x","")</f>
        <v/>
      </c>
      <c r="Z1521" s="55" t="str">
        <f>IF(AND(OR(LEFT(TH!L1521,2)="15",LEFT(TH!M1521,2)="15"),TK!$E$7=TH!F1521),"x","")</f>
        <v/>
      </c>
      <c r="AA1521" s="55" t="str">
        <f>IF(AND(B1521&lt;=NKC!$N$8,B1521&gt;=NKC!$M$8),"x","")</f>
        <v/>
      </c>
    </row>
    <row r="1522" spans="1:27" ht="15.75" customHeight="1">
      <c r="A1522" s="219" t="str">
        <f>IF(B1522&lt;&gt;"",IF(AND(B1522&gt;=_TM1,B1522&lt;=_TM2,OR(TH!L1522="1111",TH!M1522="1111")),TH!D1522,""),"")</f>
        <v/>
      </c>
      <c r="B1522" s="36" t="str">
        <f t="shared" si="57"/>
        <v/>
      </c>
      <c r="C1522" s="37"/>
      <c r="D1522" s="37"/>
      <c r="E1522" s="37"/>
      <c r="F1522" s="40"/>
      <c r="G1522" s="580"/>
      <c r="H1522" s="45"/>
      <c r="I1522" s="277"/>
      <c r="J1522" s="277"/>
      <c r="K1522" s="38"/>
      <c r="L1522" s="39"/>
      <c r="M1522" s="39"/>
      <c r="N1522" s="55" t="str">
        <f>IF(AND('331-CT'!$E$7=TH!H1522,OR(L1522="331",M1522="331")),"x","")</f>
        <v/>
      </c>
      <c r="O1522" s="55" t="str">
        <f>IF(AND($B1522&gt;='111'!$N$11,$B1522&lt;='111'!$O$11,OR($L1522=$O$7,$M1522=$O$7)),"x","")</f>
        <v/>
      </c>
      <c r="P1522" s="55" t="str">
        <f>IF(AND($L1522=$O$7,$B1522&lt;'111'!$N$11),"x","")</f>
        <v/>
      </c>
      <c r="Q1522" s="55" t="str">
        <f>IF(AND($M1522=$O$7,$B1522&lt;'111'!$N$11),"x","")</f>
        <v/>
      </c>
      <c r="R1522" s="55" t="str">
        <f>IF(ISERROR(FIND('112'!$M$9,G1522,1)),"",IF((AND(FIND('112'!$M$9,G1522,1)&gt;=1,$B1522&gt;='112'!$N$8,$B1522&lt;='112'!$O$8,OR($L1522='112'!$I$6,$M1522='112'!$I$6))),"x",""))</f>
        <v/>
      </c>
      <c r="S1522" s="55" t="str">
        <f>IF(ISERROR(FIND('112'!$M$9,G1522,1)),"",IF((AND(LEFT(G1522,2)=LEFT('112'!$M$9,2),B1522&lt;'112'!$N$8,$L1522='112'!$I$6)),"x",""))</f>
        <v/>
      </c>
      <c r="T1522" s="55" t="str">
        <f>IF(ISERROR(FIND('112'!$M$9,G1522,1)),"",IF((AND(RIGHT(G1522,2)=RIGHT('112'!$M$9,2),B1522&lt;'112'!$N$8,$M1522='112'!$I$6)),"x",""))</f>
        <v/>
      </c>
      <c r="U1522" s="55" t="str">
        <f>IF(AND('3411-CT'!$F$9=H1522,OR(LEFT(L1522,3)=$U$7,LEFT(M1522,3)=$U$7)),"x","")</f>
        <v/>
      </c>
      <c r="V1522" s="55" t="str">
        <f>IF(OR(TH!L1522=TH!$V$7,M1522=TH!$V$7),"x","")</f>
        <v/>
      </c>
      <c r="W1522" s="55" t="str">
        <f>IF(AND(OR(L1522="131",M1522="131"),H1522='131-CT'!$E$7),"x","")</f>
        <v/>
      </c>
      <c r="X1522" s="55" t="str">
        <f>IF(AND(B1522&gt;='IN-NX'!$P$3,B1522&lt;='IN-NX'!$Q$3,'IN-NX'!$D$7=D1522,OR(LEFT(TH!L1522,2)="15",LEFT(TH!M1522,2)="15")),"x","")</f>
        <v/>
      </c>
      <c r="Y1522" s="55" t="str">
        <f>IF(AND(OR(LEFT(TH!L1522,2)="15",LEFT(TH!M1522,2)="15"),'152-CT'!$J$8=TH!F1522),"x","")</f>
        <v/>
      </c>
      <c r="Z1522" s="55" t="str">
        <f>IF(AND(OR(LEFT(TH!L1522,2)="15",LEFT(TH!M1522,2)="15"),TK!$E$7=TH!F1522),"x","")</f>
        <v/>
      </c>
      <c r="AA1522" s="55" t="str">
        <f>IF(AND(B1522&lt;=NKC!$N$8,B1522&gt;=NKC!$M$8),"x","")</f>
        <v/>
      </c>
    </row>
    <row r="1523" spans="1:27" ht="15.75" customHeight="1">
      <c r="A1523" s="219" t="str">
        <f>IF(B1523&lt;&gt;"",IF(AND(B1523&gt;=_TM1,B1523&lt;=_TM2,OR(TH!L1523="1111",TH!M1523="1111")),TH!D1523,""),"")</f>
        <v/>
      </c>
      <c r="B1523" s="36" t="str">
        <f t="shared" si="57"/>
        <v/>
      </c>
      <c r="C1523" s="37"/>
      <c r="D1523" s="37"/>
      <c r="E1523" s="37"/>
      <c r="F1523" s="40"/>
      <c r="G1523" s="580"/>
      <c r="H1523" s="45"/>
      <c r="I1523" s="277"/>
      <c r="J1523" s="277"/>
      <c r="K1523" s="38"/>
      <c r="L1523" s="39"/>
      <c r="M1523" s="39"/>
      <c r="N1523" s="55" t="str">
        <f>IF(AND('331-CT'!$E$7=TH!H1523,OR(L1523="331",M1523="331")),"x","")</f>
        <v/>
      </c>
      <c r="O1523" s="55" t="str">
        <f>IF(AND($B1523&gt;='111'!$N$11,$B1523&lt;='111'!$O$11,OR($L1523=$O$7,$M1523=$O$7)),"x","")</f>
        <v/>
      </c>
      <c r="P1523" s="55" t="str">
        <f>IF(AND($L1523=$O$7,$B1523&lt;'111'!$N$11),"x","")</f>
        <v/>
      </c>
      <c r="Q1523" s="55" t="str">
        <f>IF(AND($M1523=$O$7,$B1523&lt;'111'!$N$11),"x","")</f>
        <v/>
      </c>
      <c r="R1523" s="55" t="str">
        <f>IF(ISERROR(FIND('112'!$M$9,G1523,1)),"",IF((AND(FIND('112'!$M$9,G1523,1)&gt;=1,$B1523&gt;='112'!$N$8,$B1523&lt;='112'!$O$8,OR($L1523='112'!$I$6,$M1523='112'!$I$6))),"x",""))</f>
        <v/>
      </c>
      <c r="S1523" s="55" t="str">
        <f>IF(ISERROR(FIND('112'!$M$9,G1523,1)),"",IF((AND(LEFT(G1523,2)=LEFT('112'!$M$9,2),B1523&lt;'112'!$N$8,$L1523='112'!$I$6)),"x",""))</f>
        <v/>
      </c>
      <c r="T1523" s="55" t="str">
        <f>IF(ISERROR(FIND('112'!$M$9,G1523,1)),"",IF((AND(RIGHT(G1523,2)=RIGHT('112'!$M$9,2),B1523&lt;'112'!$N$8,$M1523='112'!$I$6)),"x",""))</f>
        <v/>
      </c>
      <c r="U1523" s="55" t="str">
        <f>IF(AND('3411-CT'!$F$9=H1523,OR(LEFT(L1523,3)=$U$7,LEFT(M1523,3)=$U$7)),"x","")</f>
        <v/>
      </c>
      <c r="V1523" s="55" t="str">
        <f>IF(OR(TH!L1523=TH!$V$7,M1523=TH!$V$7),"x","")</f>
        <v/>
      </c>
      <c r="W1523" s="55" t="str">
        <f>IF(AND(OR(L1523="131",M1523="131"),H1523='131-CT'!$E$7),"x","")</f>
        <v/>
      </c>
      <c r="X1523" s="55" t="str">
        <f>IF(AND(B1523&gt;='IN-NX'!$P$3,B1523&lt;='IN-NX'!$Q$3,'IN-NX'!$D$7=D1523,OR(LEFT(TH!L1523,2)="15",LEFT(TH!M1523,2)="15")),"x","")</f>
        <v/>
      </c>
      <c r="Y1523" s="55" t="str">
        <f>IF(AND(OR(LEFT(TH!L1523,2)="15",LEFT(TH!M1523,2)="15"),'152-CT'!$J$8=TH!F1523),"x","")</f>
        <v/>
      </c>
      <c r="Z1523" s="55" t="str">
        <f>IF(AND(OR(LEFT(TH!L1523,2)="15",LEFT(TH!M1523,2)="15"),TK!$E$7=TH!F1523),"x","")</f>
        <v/>
      </c>
      <c r="AA1523" s="55" t="str">
        <f>IF(AND(B1523&lt;=NKC!$N$8,B1523&gt;=NKC!$M$8),"x","")</f>
        <v/>
      </c>
    </row>
    <row r="1524" spans="1:27" ht="15.75" customHeight="1">
      <c r="A1524" s="219" t="str">
        <f>IF(B1524&lt;&gt;"",IF(AND(B1524&gt;=_TM1,B1524&lt;=_TM2,OR(TH!L1524="1111",TH!M1524="1111")),TH!D1524,""),"")</f>
        <v/>
      </c>
      <c r="B1524" s="36" t="str">
        <f t="shared" ref="B1524:B1587" si="59">IF(C1524&lt;&gt;"",MONTH(C1524),"")</f>
        <v/>
      </c>
      <c r="C1524" s="37"/>
      <c r="D1524" s="37"/>
      <c r="E1524" s="37"/>
      <c r="F1524" s="40"/>
      <c r="G1524" s="40"/>
      <c r="H1524" s="45"/>
      <c r="I1524" s="277"/>
      <c r="J1524" s="277"/>
      <c r="K1524" s="38"/>
      <c r="L1524" s="39"/>
      <c r="M1524" s="39"/>
      <c r="N1524" s="55" t="str">
        <f>IF(AND('331-CT'!$E$7=TH!H1524,OR(L1524="331",M1524="331")),"x","")</f>
        <v/>
      </c>
      <c r="O1524" s="55" t="str">
        <f>IF(AND($B1524&gt;='111'!$N$11,$B1524&lt;='111'!$O$11,OR($L1524=$O$7,$M1524=$O$7)),"x","")</f>
        <v/>
      </c>
      <c r="P1524" s="55" t="str">
        <f>IF(AND($L1524=$O$7,$B1524&lt;'111'!$N$11),"x","")</f>
        <v/>
      </c>
      <c r="Q1524" s="55" t="str">
        <f>IF(AND($M1524=$O$7,$B1524&lt;'111'!$N$11),"x","")</f>
        <v/>
      </c>
      <c r="R1524" s="55" t="str">
        <f>IF(ISERROR(FIND('112'!$M$9,G1524,1)),"",IF((AND(FIND('112'!$M$9,G1524,1)&gt;=1,$B1524&gt;='112'!$N$8,$B1524&lt;='112'!$O$8,OR($L1524='112'!$I$6,$M1524='112'!$I$6))),"x",""))</f>
        <v/>
      </c>
      <c r="S1524" s="55" t="str">
        <f>IF(ISERROR(FIND('112'!$M$9,G1524,1)),"",IF((AND(LEFT(G1524,2)=LEFT('112'!$M$9,2),B1524&lt;'112'!$N$8,$L1524='112'!$I$6)),"x",""))</f>
        <v/>
      </c>
      <c r="T1524" s="55" t="str">
        <f>IF(ISERROR(FIND('112'!$M$9,G1524,1)),"",IF((AND(RIGHT(G1524,2)=RIGHT('112'!$M$9,2),B1524&lt;'112'!$N$8,$M1524='112'!$I$6)),"x",""))</f>
        <v/>
      </c>
      <c r="U1524" s="55" t="str">
        <f>IF(AND('3411-CT'!$F$9=H1524,OR(LEFT(L1524,3)=$U$7,LEFT(M1524,3)=$U$7)),"x","")</f>
        <v/>
      </c>
      <c r="V1524" s="55" t="str">
        <f>IF(OR(TH!L1524=TH!$V$7,M1524=TH!$V$7),"x","")</f>
        <v/>
      </c>
      <c r="W1524" s="55" t="str">
        <f>IF(AND(OR(L1524="131",M1524="131"),H1524='131-CT'!$E$7),"x","")</f>
        <v/>
      </c>
      <c r="X1524" s="55" t="str">
        <f>IF(AND(B1524&gt;='IN-NX'!$P$3,B1524&lt;='IN-NX'!$Q$3,'IN-NX'!$D$7=D1524,OR(LEFT(TH!L1524,2)="15",LEFT(TH!M1524,2)="15")),"x","")</f>
        <v/>
      </c>
      <c r="Y1524" s="55" t="str">
        <f>IF(AND(OR(LEFT(TH!L1524,2)="15",LEFT(TH!M1524,2)="15"),'152-CT'!$J$8=TH!F1524),"x","")</f>
        <v/>
      </c>
      <c r="Z1524" s="55" t="str">
        <f>IF(AND(OR(LEFT(TH!L1524,2)="15",LEFT(TH!M1524,2)="15"),TK!$E$7=TH!F1524),"x","")</f>
        <v/>
      </c>
      <c r="AA1524" s="55" t="str">
        <f>IF(AND(B1524&lt;=NKC!$N$8,B1524&gt;=NKC!$M$8),"x","")</f>
        <v/>
      </c>
    </row>
    <row r="1525" spans="1:27" ht="15.75" customHeight="1">
      <c r="A1525" s="219" t="str">
        <f>IF(B1525&lt;&gt;"",IF(AND(B1525&gt;=_TM1,B1525&lt;=_TM2,OR(TH!L1525="1111",TH!M1525="1111")),TH!D1525,""),"")</f>
        <v/>
      </c>
      <c r="B1525" s="36" t="str">
        <f t="shared" si="59"/>
        <v/>
      </c>
      <c r="C1525" s="37"/>
      <c r="D1525" s="37"/>
      <c r="E1525" s="37"/>
      <c r="F1525" s="40"/>
      <c r="G1525" s="40"/>
      <c r="H1525" s="45"/>
      <c r="I1525" s="277"/>
      <c r="J1525" s="277"/>
      <c r="K1525" s="38"/>
      <c r="L1525" s="39"/>
      <c r="M1525" s="39"/>
      <c r="N1525" s="55" t="str">
        <f>IF(AND('331-CT'!$E$7=TH!H1525,OR(L1525="331",M1525="331")),"x","")</f>
        <v/>
      </c>
      <c r="O1525" s="55" t="str">
        <f>IF(AND($B1525&gt;='111'!$N$11,$B1525&lt;='111'!$O$11,OR($L1525=$O$7,$M1525=$O$7)),"x","")</f>
        <v/>
      </c>
      <c r="P1525" s="55" t="str">
        <f>IF(AND($L1525=$O$7,$B1525&lt;'111'!$N$11),"x","")</f>
        <v/>
      </c>
      <c r="Q1525" s="55" t="str">
        <f>IF(AND($M1525=$O$7,$B1525&lt;'111'!$N$11),"x","")</f>
        <v/>
      </c>
      <c r="R1525" s="55" t="str">
        <f>IF(ISERROR(FIND('112'!$M$9,G1525,1)),"",IF((AND(FIND('112'!$M$9,G1525,1)&gt;=1,$B1525&gt;='112'!$N$8,$B1525&lt;='112'!$O$8,OR($L1525='112'!$I$6,$M1525='112'!$I$6))),"x",""))</f>
        <v/>
      </c>
      <c r="S1525" s="55" t="str">
        <f>IF(ISERROR(FIND('112'!$M$9,G1525,1)),"",IF((AND(LEFT(G1525,2)=LEFT('112'!$M$9,2),B1525&lt;'112'!$N$8,$L1525='112'!$I$6)),"x",""))</f>
        <v/>
      </c>
      <c r="T1525" s="55" t="str">
        <f>IF(ISERROR(FIND('112'!$M$9,G1525,1)),"",IF((AND(RIGHT(G1525,2)=RIGHT('112'!$M$9,2),B1525&lt;'112'!$N$8,$M1525='112'!$I$6)),"x",""))</f>
        <v/>
      </c>
      <c r="U1525" s="55" t="str">
        <f>IF(AND('3411-CT'!$F$9=H1525,OR(LEFT(L1525,3)=$U$7,LEFT(M1525,3)=$U$7)),"x","")</f>
        <v/>
      </c>
      <c r="V1525" s="55" t="str">
        <f>IF(OR(TH!L1525=TH!$V$7,M1525=TH!$V$7),"x","")</f>
        <v/>
      </c>
      <c r="W1525" s="55" t="str">
        <f>IF(AND(OR(L1525="131",M1525="131"),H1525='131-CT'!$E$7),"x","")</f>
        <v/>
      </c>
      <c r="X1525" s="55" t="str">
        <f>IF(AND(B1525&gt;='IN-NX'!$P$3,B1525&lt;='IN-NX'!$Q$3,'IN-NX'!$D$7=D1525,OR(LEFT(TH!L1525,2)="15",LEFT(TH!M1525,2)="15")),"x","")</f>
        <v/>
      </c>
      <c r="Y1525" s="55" t="str">
        <f>IF(AND(OR(LEFT(TH!L1525,2)="15",LEFT(TH!M1525,2)="15"),'152-CT'!$J$8=TH!F1525),"x","")</f>
        <v/>
      </c>
      <c r="Z1525" s="55" t="str">
        <f>IF(AND(OR(LEFT(TH!L1525,2)="15",LEFT(TH!M1525,2)="15"),TK!$E$7=TH!F1525),"x","")</f>
        <v/>
      </c>
      <c r="AA1525" s="55" t="str">
        <f>IF(AND(B1525&lt;=NKC!$N$8,B1525&gt;=NKC!$M$8),"x","")</f>
        <v/>
      </c>
    </row>
    <row r="1526" spans="1:27" ht="15.75" customHeight="1">
      <c r="A1526" s="219" t="str">
        <f>IF(B1526&lt;&gt;"",IF(AND(B1526&gt;=_TM1,B1526&lt;=_TM2,OR(TH!L1526="1111",TH!M1526="1111")),TH!D1526,""),"")</f>
        <v/>
      </c>
      <c r="B1526" s="36" t="str">
        <f t="shared" si="59"/>
        <v/>
      </c>
      <c r="C1526" s="37"/>
      <c r="D1526" s="37"/>
      <c r="E1526" s="37"/>
      <c r="F1526" s="40"/>
      <c r="G1526" s="40"/>
      <c r="H1526" s="45"/>
      <c r="I1526" s="277"/>
      <c r="J1526" s="277"/>
      <c r="K1526" s="38"/>
      <c r="L1526" s="39"/>
      <c r="M1526" s="39"/>
      <c r="N1526" s="55" t="str">
        <f>IF(AND('331-CT'!$E$7=TH!H1526,OR(L1526="331",M1526="331")),"x","")</f>
        <v/>
      </c>
      <c r="O1526" s="55" t="str">
        <f>IF(AND($B1526&gt;='111'!$N$11,$B1526&lt;='111'!$O$11,OR($L1526=$O$7,$M1526=$O$7)),"x","")</f>
        <v/>
      </c>
      <c r="P1526" s="55" t="str">
        <f>IF(AND($L1526=$O$7,$B1526&lt;'111'!$N$11),"x","")</f>
        <v/>
      </c>
      <c r="Q1526" s="55" t="str">
        <f>IF(AND($M1526=$O$7,$B1526&lt;'111'!$N$11),"x","")</f>
        <v/>
      </c>
      <c r="R1526" s="55" t="str">
        <f>IF(ISERROR(FIND('112'!$M$9,G1526,1)),"",IF((AND(FIND('112'!$M$9,G1526,1)&gt;=1,$B1526&gt;='112'!$N$8,$B1526&lt;='112'!$O$8,OR($L1526='112'!$I$6,$M1526='112'!$I$6))),"x",""))</f>
        <v/>
      </c>
      <c r="S1526" s="55" t="str">
        <f>IF(ISERROR(FIND('112'!$M$9,G1526,1)),"",IF((AND(LEFT(G1526,2)=LEFT('112'!$M$9,2),B1526&lt;'112'!$N$8,$L1526='112'!$I$6)),"x",""))</f>
        <v/>
      </c>
      <c r="T1526" s="55" t="str">
        <f>IF(ISERROR(FIND('112'!$M$9,G1526,1)),"",IF((AND(RIGHT(G1526,2)=RIGHT('112'!$M$9,2),B1526&lt;'112'!$N$8,$M1526='112'!$I$6)),"x",""))</f>
        <v/>
      </c>
      <c r="U1526" s="55" t="str">
        <f>IF(AND('3411-CT'!$F$9=H1526,OR(LEFT(L1526,3)=$U$7,LEFT(M1526,3)=$U$7)),"x","")</f>
        <v/>
      </c>
      <c r="V1526" s="55" t="str">
        <f>IF(OR(TH!L1526=TH!$V$7,M1526=TH!$V$7),"x","")</f>
        <v/>
      </c>
      <c r="W1526" s="55" t="str">
        <f>IF(AND(OR(L1526="131",M1526="131"),H1526='131-CT'!$E$7),"x","")</f>
        <v/>
      </c>
      <c r="X1526" s="55" t="str">
        <f>IF(AND(B1526&gt;='IN-NX'!$P$3,B1526&lt;='IN-NX'!$Q$3,'IN-NX'!$D$7=D1526,OR(LEFT(TH!L1526,2)="15",LEFT(TH!M1526,2)="15")),"x","")</f>
        <v/>
      </c>
      <c r="Y1526" s="55" t="str">
        <f>IF(AND(OR(LEFT(TH!L1526,2)="15",LEFT(TH!M1526,2)="15"),'152-CT'!$J$8=TH!F1526),"x","")</f>
        <v/>
      </c>
      <c r="Z1526" s="55" t="str">
        <f>IF(AND(OR(LEFT(TH!L1526,2)="15",LEFT(TH!M1526,2)="15"),TK!$E$7=TH!F1526),"x","")</f>
        <v/>
      </c>
      <c r="AA1526" s="55" t="str">
        <f>IF(AND(B1526&lt;=NKC!$N$8,B1526&gt;=NKC!$M$8),"x","")</f>
        <v/>
      </c>
    </row>
    <row r="1527" spans="1:27" ht="15.75" customHeight="1">
      <c r="A1527" s="219" t="str">
        <f>IF(B1527&lt;&gt;"",IF(AND(B1527&gt;=_TM1,B1527&lt;=_TM2,OR(TH!L1527="1111",TH!M1527="1111")),TH!D1527,""),"")</f>
        <v/>
      </c>
      <c r="B1527" s="36" t="str">
        <f t="shared" si="59"/>
        <v/>
      </c>
      <c r="C1527" s="37"/>
      <c r="D1527" s="37"/>
      <c r="E1527" s="37"/>
      <c r="F1527" s="40"/>
      <c r="G1527" s="40"/>
      <c r="H1527" s="45"/>
      <c r="I1527" s="277"/>
      <c r="J1527" s="277"/>
      <c r="K1527" s="38"/>
      <c r="L1527" s="39"/>
      <c r="M1527" s="39"/>
      <c r="N1527" s="55" t="str">
        <f>IF(AND('331-CT'!$E$7=TH!H1527,OR(L1527="331",M1527="331")),"x","")</f>
        <v/>
      </c>
      <c r="O1527" s="55" t="str">
        <f>IF(AND($B1527&gt;='111'!$N$11,$B1527&lt;='111'!$O$11,OR($L1527=$O$7,$M1527=$O$7)),"x","")</f>
        <v/>
      </c>
      <c r="P1527" s="55" t="str">
        <f>IF(AND($L1527=$O$7,$B1527&lt;'111'!$N$11),"x","")</f>
        <v/>
      </c>
      <c r="Q1527" s="55" t="str">
        <f>IF(AND($M1527=$O$7,$B1527&lt;'111'!$N$11),"x","")</f>
        <v/>
      </c>
      <c r="R1527" s="55" t="str">
        <f>IF(ISERROR(FIND('112'!$M$9,G1527,1)),"",IF((AND(FIND('112'!$M$9,G1527,1)&gt;=1,$B1527&gt;='112'!$N$8,$B1527&lt;='112'!$O$8,OR($L1527='112'!$I$6,$M1527='112'!$I$6))),"x",""))</f>
        <v/>
      </c>
      <c r="S1527" s="55" t="str">
        <f>IF(ISERROR(FIND('112'!$M$9,G1527,1)),"",IF((AND(LEFT(G1527,2)=LEFT('112'!$M$9,2),B1527&lt;'112'!$N$8,$L1527='112'!$I$6)),"x",""))</f>
        <v/>
      </c>
      <c r="T1527" s="55" t="str">
        <f>IF(ISERROR(FIND('112'!$M$9,G1527,1)),"",IF((AND(RIGHT(G1527,2)=RIGHT('112'!$M$9,2),B1527&lt;'112'!$N$8,$M1527='112'!$I$6)),"x",""))</f>
        <v/>
      </c>
      <c r="U1527" s="55" t="str">
        <f>IF(AND('3411-CT'!$F$9=H1527,OR(LEFT(L1527,3)=$U$7,LEFT(M1527,3)=$U$7)),"x","")</f>
        <v/>
      </c>
      <c r="V1527" s="55" t="str">
        <f>IF(OR(TH!L1527=TH!$V$7,M1527=TH!$V$7),"x","")</f>
        <v/>
      </c>
      <c r="W1527" s="55" t="str">
        <f>IF(AND(OR(L1527="131",M1527="131"),H1527='131-CT'!$E$7),"x","")</f>
        <v/>
      </c>
      <c r="X1527" s="55" t="str">
        <f>IF(AND(B1527&gt;='IN-NX'!$P$3,B1527&lt;='IN-NX'!$Q$3,'IN-NX'!$D$7=D1527,OR(LEFT(TH!L1527,2)="15",LEFT(TH!M1527,2)="15")),"x","")</f>
        <v/>
      </c>
      <c r="Y1527" s="55" t="str">
        <f>IF(AND(OR(LEFT(TH!L1527,2)="15",LEFT(TH!M1527,2)="15"),'152-CT'!$J$8=TH!F1527),"x","")</f>
        <v/>
      </c>
      <c r="Z1527" s="55" t="str">
        <f>IF(AND(OR(LEFT(TH!L1527,2)="15",LEFT(TH!M1527,2)="15"),TK!$E$7=TH!F1527),"x","")</f>
        <v/>
      </c>
      <c r="AA1527" s="55" t="str">
        <f>IF(AND(B1527&lt;=NKC!$N$8,B1527&gt;=NKC!$M$8),"x","")</f>
        <v/>
      </c>
    </row>
    <row r="1528" spans="1:27" ht="15.75" customHeight="1">
      <c r="A1528" s="219" t="str">
        <f>IF(B1528&lt;&gt;"",IF(AND(B1528&gt;=_TM1,B1528&lt;=_TM2,OR(TH!L1528="1111",TH!M1528="1111")),TH!D1528,""),"")</f>
        <v/>
      </c>
      <c r="B1528" s="36" t="str">
        <f t="shared" si="59"/>
        <v/>
      </c>
      <c r="C1528" s="37"/>
      <c r="D1528" s="37"/>
      <c r="E1528" s="37"/>
      <c r="F1528" s="40"/>
      <c r="G1528" s="40"/>
      <c r="H1528" s="45"/>
      <c r="I1528" s="277"/>
      <c r="J1528" s="277"/>
      <c r="K1528" s="38"/>
      <c r="L1528" s="39"/>
      <c r="M1528" s="39"/>
      <c r="N1528" s="55" t="str">
        <f>IF(AND('331-CT'!$E$7=TH!H1528,OR(L1528="331",M1528="331")),"x","")</f>
        <v/>
      </c>
      <c r="O1528" s="55" t="str">
        <f>IF(AND($B1528&gt;='111'!$N$11,$B1528&lt;='111'!$O$11,OR($L1528=$O$7,$M1528=$O$7)),"x","")</f>
        <v/>
      </c>
      <c r="P1528" s="55" t="str">
        <f>IF(AND($L1528=$O$7,$B1528&lt;'111'!$N$11),"x","")</f>
        <v/>
      </c>
      <c r="Q1528" s="55" t="str">
        <f>IF(AND($M1528=$O$7,$B1528&lt;'111'!$N$11),"x","")</f>
        <v/>
      </c>
      <c r="R1528" s="55" t="str">
        <f>IF(ISERROR(FIND('112'!$M$9,G1528,1)),"",IF((AND(FIND('112'!$M$9,G1528,1)&gt;=1,$B1528&gt;='112'!$N$8,$B1528&lt;='112'!$O$8,OR($L1528='112'!$I$6,$M1528='112'!$I$6))),"x",""))</f>
        <v/>
      </c>
      <c r="S1528" s="55" t="str">
        <f>IF(ISERROR(FIND('112'!$M$9,G1528,1)),"",IF((AND(LEFT(G1528,2)=LEFT('112'!$M$9,2),B1528&lt;'112'!$N$8,$L1528='112'!$I$6)),"x",""))</f>
        <v/>
      </c>
      <c r="T1528" s="55" t="str">
        <f>IF(ISERROR(FIND('112'!$M$9,G1528,1)),"",IF((AND(RIGHT(G1528,2)=RIGHT('112'!$M$9,2),B1528&lt;'112'!$N$8,$M1528='112'!$I$6)),"x",""))</f>
        <v/>
      </c>
      <c r="U1528" s="55" t="str">
        <f>IF(AND('3411-CT'!$F$9=H1528,OR(LEFT(L1528,3)=$U$7,LEFT(M1528,3)=$U$7)),"x","")</f>
        <v/>
      </c>
      <c r="V1528" s="55" t="str">
        <f>IF(OR(TH!L1528=TH!$V$7,M1528=TH!$V$7),"x","")</f>
        <v/>
      </c>
      <c r="W1528" s="55" t="str">
        <f>IF(AND(OR(L1528="131",M1528="131"),H1528='131-CT'!$E$7),"x","")</f>
        <v/>
      </c>
      <c r="X1528" s="55" t="str">
        <f>IF(AND(B1528&gt;='IN-NX'!$P$3,B1528&lt;='IN-NX'!$Q$3,'IN-NX'!$D$7=D1528,OR(LEFT(TH!L1528,2)="15",LEFT(TH!M1528,2)="15")),"x","")</f>
        <v/>
      </c>
      <c r="Y1528" s="55" t="str">
        <f>IF(AND(OR(LEFT(TH!L1528,2)="15",LEFT(TH!M1528,2)="15"),'152-CT'!$J$8=TH!F1528),"x","")</f>
        <v/>
      </c>
      <c r="Z1528" s="55" t="str">
        <f>IF(AND(OR(LEFT(TH!L1528,2)="15",LEFT(TH!M1528,2)="15"),TK!$E$7=TH!F1528),"x","")</f>
        <v/>
      </c>
      <c r="AA1528" s="55" t="str">
        <f>IF(AND(B1528&lt;=NKC!$N$8,B1528&gt;=NKC!$M$8),"x","")</f>
        <v/>
      </c>
    </row>
    <row r="1529" spans="1:27" ht="15.75" customHeight="1">
      <c r="A1529" s="219" t="str">
        <f>IF(B1529&lt;&gt;"",IF(AND(B1529&gt;=_TM1,B1529&lt;=_TM2,OR(TH!L1529="1111",TH!M1529="1111")),TH!D1529,""),"")</f>
        <v/>
      </c>
      <c r="B1529" s="36" t="str">
        <f t="shared" si="59"/>
        <v/>
      </c>
      <c r="C1529" s="37"/>
      <c r="D1529" s="37"/>
      <c r="E1529" s="37"/>
      <c r="F1529" s="40"/>
      <c r="G1529" s="40"/>
      <c r="H1529" s="45"/>
      <c r="I1529" s="277"/>
      <c r="J1529" s="277"/>
      <c r="K1529" s="38"/>
      <c r="L1529" s="39"/>
      <c r="M1529" s="39"/>
      <c r="N1529" s="55" t="str">
        <f>IF(AND('331-CT'!$E$7=TH!H1529,OR(L1529="331",M1529="331")),"x","")</f>
        <v/>
      </c>
      <c r="O1529" s="55" t="str">
        <f>IF(AND($B1529&gt;='111'!$N$11,$B1529&lt;='111'!$O$11,OR($L1529=$O$7,$M1529=$O$7)),"x","")</f>
        <v/>
      </c>
      <c r="P1529" s="55" t="str">
        <f>IF(AND($L1529=$O$7,$B1529&lt;'111'!$N$11),"x","")</f>
        <v/>
      </c>
      <c r="Q1529" s="55" t="str">
        <f>IF(AND($M1529=$O$7,$B1529&lt;'111'!$N$11),"x","")</f>
        <v/>
      </c>
      <c r="R1529" s="55" t="str">
        <f>IF(ISERROR(FIND('112'!$M$9,G1529,1)),"",IF((AND(FIND('112'!$M$9,G1529,1)&gt;=1,$B1529&gt;='112'!$N$8,$B1529&lt;='112'!$O$8,OR($L1529='112'!$I$6,$M1529='112'!$I$6))),"x",""))</f>
        <v/>
      </c>
      <c r="S1529" s="55" t="str">
        <f>IF(ISERROR(FIND('112'!$M$9,G1529,1)),"",IF((AND(LEFT(G1529,2)=LEFT('112'!$M$9,2),B1529&lt;'112'!$N$8,$L1529='112'!$I$6)),"x",""))</f>
        <v/>
      </c>
      <c r="T1529" s="55" t="str">
        <f>IF(ISERROR(FIND('112'!$M$9,G1529,1)),"",IF((AND(RIGHT(G1529,2)=RIGHT('112'!$M$9,2),B1529&lt;'112'!$N$8,$M1529='112'!$I$6)),"x",""))</f>
        <v/>
      </c>
      <c r="U1529" s="55" t="str">
        <f>IF(AND('3411-CT'!$F$9=H1529,OR(LEFT(L1529,3)=$U$7,LEFT(M1529,3)=$U$7)),"x","")</f>
        <v/>
      </c>
      <c r="V1529" s="55" t="str">
        <f>IF(OR(TH!L1529=TH!$V$7,M1529=TH!$V$7),"x","")</f>
        <v/>
      </c>
      <c r="W1529" s="55" t="str">
        <f>IF(AND(OR(L1529="131",M1529="131"),H1529='131-CT'!$E$7),"x","")</f>
        <v/>
      </c>
      <c r="X1529" s="55" t="str">
        <f>IF(AND(B1529&gt;='IN-NX'!$P$3,B1529&lt;='IN-NX'!$Q$3,'IN-NX'!$D$7=D1529,OR(LEFT(TH!L1529,2)="15",LEFT(TH!M1529,2)="15")),"x","")</f>
        <v/>
      </c>
      <c r="Y1529" s="55" t="str">
        <f>IF(AND(OR(LEFT(TH!L1529,2)="15",LEFT(TH!M1529,2)="15"),'152-CT'!$J$8=TH!F1529),"x","")</f>
        <v/>
      </c>
      <c r="Z1529" s="55" t="str">
        <f>IF(AND(OR(LEFT(TH!L1529,2)="15",LEFT(TH!M1529,2)="15"),TK!$E$7=TH!F1529),"x","")</f>
        <v/>
      </c>
      <c r="AA1529" s="55" t="str">
        <f>IF(AND(B1529&lt;=NKC!$N$8,B1529&gt;=NKC!$M$8),"x","")</f>
        <v/>
      </c>
    </row>
    <row r="1530" spans="1:27" ht="15.75" customHeight="1">
      <c r="A1530" s="219" t="str">
        <f>IF(B1530&lt;&gt;"",IF(AND(B1530&gt;=_TM1,B1530&lt;=_TM2,OR(TH!L1530="1111",TH!M1530="1111")),TH!D1530,""),"")</f>
        <v/>
      </c>
      <c r="B1530" s="36" t="str">
        <f t="shared" si="59"/>
        <v/>
      </c>
      <c r="C1530" s="37"/>
      <c r="D1530" s="37"/>
      <c r="E1530" s="37"/>
      <c r="F1530" s="40"/>
      <c r="G1530" s="40"/>
      <c r="H1530" s="45"/>
      <c r="I1530" s="277"/>
      <c r="J1530" s="277"/>
      <c r="K1530" s="38"/>
      <c r="L1530" s="39"/>
      <c r="M1530" s="39"/>
      <c r="N1530" s="55" t="str">
        <f>IF(AND('331-CT'!$E$7=TH!H1530,OR(L1530="331",M1530="331")),"x","")</f>
        <v/>
      </c>
      <c r="O1530" s="55" t="str">
        <f>IF(AND($B1530&gt;='111'!$N$11,$B1530&lt;='111'!$O$11,OR($L1530=$O$7,$M1530=$O$7)),"x","")</f>
        <v/>
      </c>
      <c r="P1530" s="55" t="str">
        <f>IF(AND($L1530=$O$7,$B1530&lt;'111'!$N$11),"x","")</f>
        <v/>
      </c>
      <c r="Q1530" s="55" t="str">
        <f>IF(AND($M1530=$O$7,$B1530&lt;'111'!$N$11),"x","")</f>
        <v/>
      </c>
      <c r="R1530" s="55" t="str">
        <f>IF(ISERROR(FIND('112'!$M$9,G1530,1)),"",IF((AND(FIND('112'!$M$9,G1530,1)&gt;=1,$B1530&gt;='112'!$N$8,$B1530&lt;='112'!$O$8,OR($L1530='112'!$I$6,$M1530='112'!$I$6))),"x",""))</f>
        <v/>
      </c>
      <c r="S1530" s="55" t="str">
        <f>IF(ISERROR(FIND('112'!$M$9,G1530,1)),"",IF((AND(LEFT(G1530,2)=LEFT('112'!$M$9,2),B1530&lt;'112'!$N$8,$L1530='112'!$I$6)),"x",""))</f>
        <v/>
      </c>
      <c r="T1530" s="55" t="str">
        <f>IF(ISERROR(FIND('112'!$M$9,G1530,1)),"",IF((AND(RIGHT(G1530,2)=RIGHT('112'!$M$9,2),B1530&lt;'112'!$N$8,$M1530='112'!$I$6)),"x",""))</f>
        <v/>
      </c>
      <c r="U1530" s="55" t="str">
        <f>IF(AND('3411-CT'!$F$9=H1530,OR(LEFT(L1530,3)=$U$7,LEFT(M1530,3)=$U$7)),"x","")</f>
        <v/>
      </c>
      <c r="V1530" s="55" t="str">
        <f>IF(OR(TH!L1530=TH!$V$7,M1530=TH!$V$7),"x","")</f>
        <v/>
      </c>
      <c r="W1530" s="55" t="str">
        <f>IF(AND(OR(L1530="131",M1530="131"),H1530='131-CT'!$E$7),"x","")</f>
        <v/>
      </c>
      <c r="X1530" s="55" t="str">
        <f>IF(AND(B1530&gt;='IN-NX'!$P$3,B1530&lt;='IN-NX'!$Q$3,'IN-NX'!$D$7=D1530,OR(LEFT(TH!L1530,2)="15",LEFT(TH!M1530,2)="15")),"x","")</f>
        <v/>
      </c>
      <c r="Y1530" s="55" t="str">
        <f>IF(AND(OR(LEFT(TH!L1530,2)="15",LEFT(TH!M1530,2)="15"),'152-CT'!$J$8=TH!F1530),"x","")</f>
        <v/>
      </c>
      <c r="Z1530" s="55" t="str">
        <f>IF(AND(OR(LEFT(TH!L1530,2)="15",LEFT(TH!M1530,2)="15"),TK!$E$7=TH!F1530),"x","")</f>
        <v/>
      </c>
      <c r="AA1530" s="55" t="str">
        <f>IF(AND(B1530&lt;=NKC!$N$8,B1530&gt;=NKC!$M$8),"x","")</f>
        <v/>
      </c>
    </row>
    <row r="1531" spans="1:27" ht="15.75" customHeight="1">
      <c r="A1531" s="219" t="str">
        <f>IF(B1531&lt;&gt;"",IF(AND(B1531&gt;=_TM1,B1531&lt;=_TM2,OR(TH!L1531="1111",TH!M1531="1111")),TH!D1531,""),"")</f>
        <v/>
      </c>
      <c r="B1531" s="36" t="str">
        <f t="shared" si="59"/>
        <v/>
      </c>
      <c r="C1531" s="37"/>
      <c r="D1531" s="37"/>
      <c r="E1531" s="37"/>
      <c r="F1531" s="40"/>
      <c r="G1531" s="40"/>
      <c r="H1531" s="45"/>
      <c r="I1531" s="277"/>
      <c r="J1531" s="277"/>
      <c r="K1531" s="38"/>
      <c r="L1531" s="39"/>
      <c r="M1531" s="39"/>
      <c r="N1531" s="55" t="str">
        <f>IF(AND('331-CT'!$E$7=TH!H1531,OR(L1531="331",M1531="331")),"x","")</f>
        <v/>
      </c>
      <c r="O1531" s="55" t="str">
        <f>IF(AND($B1531&gt;='111'!$N$11,$B1531&lt;='111'!$O$11,OR($L1531=$O$7,$M1531=$O$7)),"x","")</f>
        <v/>
      </c>
      <c r="P1531" s="55" t="str">
        <f>IF(AND($L1531=$O$7,$B1531&lt;'111'!$N$11),"x","")</f>
        <v/>
      </c>
      <c r="Q1531" s="55" t="str">
        <f>IF(AND($M1531=$O$7,$B1531&lt;'111'!$N$11),"x","")</f>
        <v/>
      </c>
      <c r="R1531" s="55" t="str">
        <f>IF(ISERROR(FIND('112'!$M$9,G1531,1)),"",IF((AND(FIND('112'!$M$9,G1531,1)&gt;=1,$B1531&gt;='112'!$N$8,$B1531&lt;='112'!$O$8,OR($L1531='112'!$I$6,$M1531='112'!$I$6))),"x",""))</f>
        <v/>
      </c>
      <c r="S1531" s="55" t="str">
        <f>IF(ISERROR(FIND('112'!$M$9,G1531,1)),"",IF((AND(LEFT(G1531,2)=LEFT('112'!$M$9,2),B1531&lt;'112'!$N$8,$L1531='112'!$I$6)),"x",""))</f>
        <v/>
      </c>
      <c r="T1531" s="55" t="str">
        <f>IF(ISERROR(FIND('112'!$M$9,G1531,1)),"",IF((AND(RIGHT(G1531,2)=RIGHT('112'!$M$9,2),B1531&lt;'112'!$N$8,$M1531='112'!$I$6)),"x",""))</f>
        <v/>
      </c>
      <c r="U1531" s="55" t="str">
        <f>IF(AND('3411-CT'!$F$9=H1531,OR(LEFT(L1531,3)=$U$7,LEFT(M1531,3)=$U$7)),"x","")</f>
        <v/>
      </c>
      <c r="V1531" s="55" t="str">
        <f>IF(OR(TH!L1531=TH!$V$7,M1531=TH!$V$7),"x","")</f>
        <v/>
      </c>
      <c r="W1531" s="55" t="str">
        <f>IF(AND(OR(L1531="131",M1531="131"),H1531='131-CT'!$E$7),"x","")</f>
        <v/>
      </c>
      <c r="X1531" s="55" t="str">
        <f>IF(AND(B1531&gt;='IN-NX'!$P$3,B1531&lt;='IN-NX'!$Q$3,'IN-NX'!$D$7=D1531,OR(LEFT(TH!L1531,2)="15",LEFT(TH!M1531,2)="15")),"x","")</f>
        <v/>
      </c>
      <c r="Y1531" s="55" t="str">
        <f>IF(AND(OR(LEFT(TH!L1531,2)="15",LEFT(TH!M1531,2)="15"),'152-CT'!$J$8=TH!F1531),"x","")</f>
        <v/>
      </c>
      <c r="Z1531" s="55" t="str">
        <f>IF(AND(OR(LEFT(TH!L1531,2)="15",LEFT(TH!M1531,2)="15"),TK!$E$7=TH!F1531),"x","")</f>
        <v/>
      </c>
      <c r="AA1531" s="55" t="str">
        <f>IF(AND(B1531&lt;=NKC!$N$8,B1531&gt;=NKC!$M$8),"x","")</f>
        <v/>
      </c>
    </row>
    <row r="1532" spans="1:27" ht="15.75" customHeight="1">
      <c r="A1532" s="219" t="str">
        <f>IF(B1532&lt;&gt;"",IF(AND(B1532&gt;=_TM1,B1532&lt;=_TM2,OR(TH!L1532="1111",TH!M1532="1111")),TH!D1532,""),"")</f>
        <v/>
      </c>
      <c r="B1532" s="36" t="str">
        <f t="shared" si="59"/>
        <v/>
      </c>
      <c r="C1532" s="37"/>
      <c r="D1532" s="37"/>
      <c r="E1532" s="37"/>
      <c r="F1532" s="40"/>
      <c r="G1532" s="40"/>
      <c r="H1532" s="45"/>
      <c r="I1532" s="277"/>
      <c r="J1532" s="277"/>
      <c r="K1532" s="38"/>
      <c r="L1532" s="39"/>
      <c r="M1532" s="39"/>
      <c r="N1532" s="55" t="str">
        <f>IF(AND('331-CT'!$E$7=TH!H1532,OR(L1532="331",M1532="331")),"x","")</f>
        <v/>
      </c>
      <c r="O1532" s="55" t="str">
        <f>IF(AND($B1532&gt;='111'!$N$11,$B1532&lt;='111'!$O$11,OR($L1532=$O$7,$M1532=$O$7)),"x","")</f>
        <v/>
      </c>
      <c r="P1532" s="55" t="str">
        <f>IF(AND($L1532=$O$7,$B1532&lt;'111'!$N$11),"x","")</f>
        <v/>
      </c>
      <c r="Q1532" s="55" t="str">
        <f>IF(AND($M1532=$O$7,$B1532&lt;'111'!$N$11),"x","")</f>
        <v/>
      </c>
      <c r="R1532" s="55" t="str">
        <f>IF(ISERROR(FIND('112'!$M$9,G1532,1)),"",IF((AND(FIND('112'!$M$9,G1532,1)&gt;=1,$B1532&gt;='112'!$N$8,$B1532&lt;='112'!$O$8,OR($L1532='112'!$I$6,$M1532='112'!$I$6))),"x",""))</f>
        <v/>
      </c>
      <c r="S1532" s="55" t="str">
        <f>IF(ISERROR(FIND('112'!$M$9,G1532,1)),"",IF((AND(LEFT(G1532,2)=LEFT('112'!$M$9,2),B1532&lt;'112'!$N$8,$L1532='112'!$I$6)),"x",""))</f>
        <v/>
      </c>
      <c r="T1532" s="55" t="str">
        <f>IF(ISERROR(FIND('112'!$M$9,G1532,1)),"",IF((AND(RIGHT(G1532,2)=RIGHT('112'!$M$9,2),B1532&lt;'112'!$N$8,$M1532='112'!$I$6)),"x",""))</f>
        <v/>
      </c>
      <c r="U1532" s="55" t="str">
        <f>IF(AND('3411-CT'!$F$9=H1532,OR(LEFT(L1532,3)=$U$7,LEFT(M1532,3)=$U$7)),"x","")</f>
        <v/>
      </c>
      <c r="V1532" s="55" t="str">
        <f>IF(OR(TH!L1532=TH!$V$7,M1532=TH!$V$7),"x","")</f>
        <v/>
      </c>
      <c r="W1532" s="55" t="str">
        <f>IF(AND(OR(L1532="131",M1532="131"),H1532='131-CT'!$E$7),"x","")</f>
        <v/>
      </c>
      <c r="X1532" s="55" t="str">
        <f>IF(AND(B1532&gt;='IN-NX'!$P$3,B1532&lt;='IN-NX'!$Q$3,'IN-NX'!$D$7=D1532,OR(LEFT(TH!L1532,2)="15",LEFT(TH!M1532,2)="15")),"x","")</f>
        <v/>
      </c>
      <c r="Y1532" s="55" t="str">
        <f>IF(AND(OR(LEFT(TH!L1532,2)="15",LEFT(TH!M1532,2)="15"),'152-CT'!$J$8=TH!F1532),"x","")</f>
        <v/>
      </c>
      <c r="Z1532" s="55" t="str">
        <f>IF(AND(OR(LEFT(TH!L1532,2)="15",LEFT(TH!M1532,2)="15"),TK!$E$7=TH!F1532),"x","")</f>
        <v/>
      </c>
      <c r="AA1532" s="55" t="str">
        <f>IF(AND(B1532&lt;=NKC!$N$8,B1532&gt;=NKC!$M$8),"x","")</f>
        <v/>
      </c>
    </row>
    <row r="1533" spans="1:27" ht="15.75" customHeight="1">
      <c r="A1533" s="219" t="str">
        <f>IF(B1533&lt;&gt;"",IF(AND(B1533&gt;=_TM1,B1533&lt;=_TM2,OR(TH!L1533="1111",TH!M1533="1111")),TH!D1533,""),"")</f>
        <v/>
      </c>
      <c r="B1533" s="36" t="str">
        <f t="shared" si="59"/>
        <v/>
      </c>
      <c r="C1533" s="37"/>
      <c r="D1533" s="37"/>
      <c r="E1533" s="37"/>
      <c r="F1533" s="40"/>
      <c r="G1533" s="40"/>
      <c r="H1533" s="45"/>
      <c r="I1533" s="277"/>
      <c r="J1533" s="277"/>
      <c r="K1533" s="38"/>
      <c r="L1533" s="39"/>
      <c r="M1533" s="39"/>
      <c r="N1533" s="55" t="str">
        <f>IF(AND('331-CT'!$E$7=TH!H1533,OR(L1533="331",M1533="331")),"x","")</f>
        <v/>
      </c>
      <c r="O1533" s="55" t="str">
        <f>IF(AND($B1533&gt;='111'!$N$11,$B1533&lt;='111'!$O$11,OR($L1533=$O$7,$M1533=$O$7)),"x","")</f>
        <v/>
      </c>
      <c r="P1533" s="55" t="str">
        <f>IF(AND($L1533=$O$7,$B1533&lt;'111'!$N$11),"x","")</f>
        <v/>
      </c>
      <c r="Q1533" s="55" t="str">
        <f>IF(AND($M1533=$O$7,$B1533&lt;'111'!$N$11),"x","")</f>
        <v/>
      </c>
      <c r="R1533" s="55" t="str">
        <f>IF(ISERROR(FIND('112'!$M$9,G1533,1)),"",IF((AND(FIND('112'!$M$9,G1533,1)&gt;=1,$B1533&gt;='112'!$N$8,$B1533&lt;='112'!$O$8,OR($L1533='112'!$I$6,$M1533='112'!$I$6))),"x",""))</f>
        <v/>
      </c>
      <c r="S1533" s="55" t="str">
        <f>IF(ISERROR(FIND('112'!$M$9,G1533,1)),"",IF((AND(LEFT(G1533,2)=LEFT('112'!$M$9,2),B1533&lt;'112'!$N$8,$L1533='112'!$I$6)),"x",""))</f>
        <v/>
      </c>
      <c r="T1533" s="55" t="str">
        <f>IF(ISERROR(FIND('112'!$M$9,G1533,1)),"",IF((AND(RIGHT(G1533,2)=RIGHT('112'!$M$9,2),B1533&lt;'112'!$N$8,$M1533='112'!$I$6)),"x",""))</f>
        <v/>
      </c>
      <c r="U1533" s="55" t="str">
        <f>IF(AND('3411-CT'!$F$9=H1533,OR(LEFT(L1533,3)=$U$7,LEFT(M1533,3)=$U$7)),"x","")</f>
        <v/>
      </c>
      <c r="V1533" s="55" t="str">
        <f>IF(OR(TH!L1533=TH!$V$7,M1533=TH!$V$7),"x","")</f>
        <v/>
      </c>
      <c r="W1533" s="55" t="str">
        <f>IF(AND(OR(L1533="131",M1533="131"),H1533='131-CT'!$E$7),"x","")</f>
        <v/>
      </c>
      <c r="X1533" s="55" t="str">
        <f>IF(AND(B1533&gt;='IN-NX'!$P$3,B1533&lt;='IN-NX'!$Q$3,'IN-NX'!$D$7=D1533,OR(LEFT(TH!L1533,2)="15",LEFT(TH!M1533,2)="15")),"x","")</f>
        <v/>
      </c>
      <c r="Y1533" s="55" t="str">
        <f>IF(AND(OR(LEFT(TH!L1533,2)="15",LEFT(TH!M1533,2)="15"),'152-CT'!$J$8=TH!F1533),"x","")</f>
        <v/>
      </c>
      <c r="Z1533" s="55" t="str">
        <f>IF(AND(OR(LEFT(TH!L1533,2)="15",LEFT(TH!M1533,2)="15"),TK!$E$7=TH!F1533),"x","")</f>
        <v/>
      </c>
      <c r="AA1533" s="55" t="str">
        <f>IF(AND(B1533&lt;=NKC!$N$8,B1533&gt;=NKC!$M$8),"x","")</f>
        <v/>
      </c>
    </row>
    <row r="1534" spans="1:27" ht="15.75" customHeight="1">
      <c r="A1534" s="219" t="str">
        <f>IF(B1534&lt;&gt;"",IF(AND(B1534&gt;=_TM1,B1534&lt;=_TM2,OR(TH!L1534="1111",TH!M1534="1111")),TH!D1534,""),"")</f>
        <v/>
      </c>
      <c r="B1534" s="36" t="str">
        <f t="shared" si="59"/>
        <v/>
      </c>
      <c r="C1534" s="37"/>
      <c r="D1534" s="37"/>
      <c r="E1534" s="37"/>
      <c r="F1534" s="40"/>
      <c r="G1534" s="40"/>
      <c r="H1534" s="45"/>
      <c r="I1534" s="277"/>
      <c r="J1534" s="277"/>
      <c r="K1534" s="38"/>
      <c r="L1534" s="39"/>
      <c r="M1534" s="39"/>
      <c r="N1534" s="55" t="str">
        <f>IF(AND('331-CT'!$E$7=TH!H1534,OR(L1534="331",M1534="331")),"x","")</f>
        <v/>
      </c>
      <c r="O1534" s="55" t="str">
        <f>IF(AND($B1534&gt;='111'!$N$11,$B1534&lt;='111'!$O$11,OR($L1534=$O$7,$M1534=$O$7)),"x","")</f>
        <v/>
      </c>
      <c r="P1534" s="55" t="str">
        <f>IF(AND($L1534=$O$7,$B1534&lt;'111'!$N$11),"x","")</f>
        <v/>
      </c>
      <c r="Q1534" s="55" t="str">
        <f>IF(AND($M1534=$O$7,$B1534&lt;'111'!$N$11),"x","")</f>
        <v/>
      </c>
      <c r="R1534" s="55" t="str">
        <f>IF(ISERROR(FIND('112'!$M$9,G1534,1)),"",IF((AND(FIND('112'!$M$9,G1534,1)&gt;=1,$B1534&gt;='112'!$N$8,$B1534&lt;='112'!$O$8,OR($L1534='112'!$I$6,$M1534='112'!$I$6))),"x",""))</f>
        <v/>
      </c>
      <c r="S1534" s="55" t="str">
        <f>IF(ISERROR(FIND('112'!$M$9,G1534,1)),"",IF((AND(LEFT(G1534,2)=LEFT('112'!$M$9,2),B1534&lt;'112'!$N$8,$L1534='112'!$I$6)),"x",""))</f>
        <v/>
      </c>
      <c r="T1534" s="55" t="str">
        <f>IF(ISERROR(FIND('112'!$M$9,G1534,1)),"",IF((AND(RIGHT(G1534,2)=RIGHT('112'!$M$9,2),B1534&lt;'112'!$N$8,$M1534='112'!$I$6)),"x",""))</f>
        <v/>
      </c>
      <c r="U1534" s="55" t="str">
        <f>IF(AND('3411-CT'!$F$9=H1534,OR(LEFT(L1534,3)=$U$7,LEFT(M1534,3)=$U$7)),"x","")</f>
        <v/>
      </c>
      <c r="V1534" s="55" t="str">
        <f>IF(OR(TH!L1534=TH!$V$7,M1534=TH!$V$7),"x","")</f>
        <v/>
      </c>
      <c r="W1534" s="55" t="str">
        <f>IF(AND(OR(L1534="131",M1534="131"),H1534='131-CT'!$E$7),"x","")</f>
        <v/>
      </c>
      <c r="X1534" s="55" t="str">
        <f>IF(AND(B1534&gt;='IN-NX'!$P$3,B1534&lt;='IN-NX'!$Q$3,'IN-NX'!$D$7=D1534,OR(LEFT(TH!L1534,2)="15",LEFT(TH!M1534,2)="15")),"x","")</f>
        <v/>
      </c>
      <c r="Y1534" s="55" t="str">
        <f>IF(AND(OR(LEFT(TH!L1534,2)="15",LEFT(TH!M1534,2)="15"),'152-CT'!$J$8=TH!F1534),"x","")</f>
        <v/>
      </c>
      <c r="Z1534" s="55" t="str">
        <f>IF(AND(OR(LEFT(TH!L1534,2)="15",LEFT(TH!M1534,2)="15"),TK!$E$7=TH!F1534),"x","")</f>
        <v/>
      </c>
      <c r="AA1534" s="55" t="str">
        <f>IF(AND(B1534&lt;=NKC!$N$8,B1534&gt;=NKC!$M$8),"x","")</f>
        <v/>
      </c>
    </row>
    <row r="1535" spans="1:27" ht="15.75" customHeight="1">
      <c r="A1535" s="219" t="str">
        <f>IF(B1535&lt;&gt;"",IF(AND(B1535&gt;=_TM1,B1535&lt;=_TM2,OR(TH!L1535="1111",TH!M1535="1111")),TH!D1535,""),"")</f>
        <v/>
      </c>
      <c r="B1535" s="36" t="str">
        <f t="shared" si="59"/>
        <v/>
      </c>
      <c r="C1535" s="37"/>
      <c r="D1535" s="37"/>
      <c r="E1535" s="37"/>
      <c r="F1535" s="40"/>
      <c r="G1535" s="40"/>
      <c r="H1535" s="45"/>
      <c r="I1535" s="277"/>
      <c r="J1535" s="277"/>
      <c r="K1535" s="38"/>
      <c r="L1535" s="39"/>
      <c r="M1535" s="39"/>
      <c r="N1535" s="55" t="str">
        <f>IF(AND('331-CT'!$E$7=TH!H1535,OR(L1535="331",M1535="331")),"x","")</f>
        <v/>
      </c>
      <c r="O1535" s="55" t="str">
        <f>IF(AND($B1535&gt;='111'!$N$11,$B1535&lt;='111'!$O$11,OR($L1535=$O$7,$M1535=$O$7)),"x","")</f>
        <v/>
      </c>
      <c r="P1535" s="55" t="str">
        <f>IF(AND($L1535=$O$7,$B1535&lt;'111'!$N$11),"x","")</f>
        <v/>
      </c>
      <c r="Q1535" s="55" t="str">
        <f>IF(AND($M1535=$O$7,$B1535&lt;'111'!$N$11),"x","")</f>
        <v/>
      </c>
      <c r="R1535" s="55" t="str">
        <f>IF(ISERROR(FIND('112'!$M$9,G1535,1)),"",IF((AND(FIND('112'!$M$9,G1535,1)&gt;=1,$B1535&gt;='112'!$N$8,$B1535&lt;='112'!$O$8,OR($L1535='112'!$I$6,$M1535='112'!$I$6))),"x",""))</f>
        <v/>
      </c>
      <c r="S1535" s="55" t="str">
        <f>IF(ISERROR(FIND('112'!$M$9,G1535,1)),"",IF((AND(LEFT(G1535,2)=LEFT('112'!$M$9,2),B1535&lt;'112'!$N$8,$L1535='112'!$I$6)),"x",""))</f>
        <v/>
      </c>
      <c r="T1535" s="55" t="str">
        <f>IF(ISERROR(FIND('112'!$M$9,G1535,1)),"",IF((AND(RIGHT(G1535,2)=RIGHT('112'!$M$9,2),B1535&lt;'112'!$N$8,$M1535='112'!$I$6)),"x",""))</f>
        <v/>
      </c>
      <c r="U1535" s="55" t="str">
        <f>IF(AND('3411-CT'!$F$9=H1535,OR(LEFT(L1535,3)=$U$7,LEFT(M1535,3)=$U$7)),"x","")</f>
        <v/>
      </c>
      <c r="V1535" s="55" t="str">
        <f>IF(OR(TH!L1535=TH!$V$7,M1535=TH!$V$7),"x","")</f>
        <v/>
      </c>
      <c r="W1535" s="55" t="str">
        <f>IF(AND(OR(L1535="131",M1535="131"),H1535='131-CT'!$E$7),"x","")</f>
        <v/>
      </c>
      <c r="X1535" s="55" t="str">
        <f>IF(AND(B1535&gt;='IN-NX'!$P$3,B1535&lt;='IN-NX'!$Q$3,'IN-NX'!$D$7=D1535,OR(LEFT(TH!L1535,2)="15",LEFT(TH!M1535,2)="15")),"x","")</f>
        <v/>
      </c>
      <c r="Y1535" s="55" t="str">
        <f>IF(AND(OR(LEFT(TH!L1535,2)="15",LEFT(TH!M1535,2)="15"),'152-CT'!$J$8=TH!F1535),"x","")</f>
        <v/>
      </c>
      <c r="Z1535" s="55" t="str">
        <f>IF(AND(OR(LEFT(TH!L1535,2)="15",LEFT(TH!M1535,2)="15"),TK!$E$7=TH!F1535),"x","")</f>
        <v/>
      </c>
      <c r="AA1535" s="55" t="str">
        <f>IF(AND(B1535&lt;=NKC!$N$8,B1535&gt;=NKC!$M$8),"x","")</f>
        <v/>
      </c>
    </row>
    <row r="1536" spans="1:27" ht="15.75" customHeight="1">
      <c r="A1536" s="219" t="str">
        <f>IF(B1536&lt;&gt;"",IF(AND(B1536&gt;=_TM1,B1536&lt;=_TM2,OR(TH!L1536="1111",TH!M1536="1111")),TH!D1536,""),"")</f>
        <v/>
      </c>
      <c r="B1536" s="36" t="str">
        <f t="shared" si="59"/>
        <v/>
      </c>
      <c r="C1536" s="37"/>
      <c r="D1536" s="37"/>
      <c r="E1536" s="37"/>
      <c r="F1536" s="40"/>
      <c r="G1536" s="40"/>
      <c r="H1536" s="45"/>
      <c r="I1536" s="277"/>
      <c r="J1536" s="277"/>
      <c r="K1536" s="38"/>
      <c r="L1536" s="39"/>
      <c r="M1536" s="39"/>
      <c r="N1536" s="55" t="str">
        <f>IF(AND('331-CT'!$E$7=TH!H1536,OR(L1536="331",M1536="331")),"x","")</f>
        <v/>
      </c>
      <c r="O1536" s="55" t="str">
        <f>IF(AND($B1536&gt;='111'!$N$11,$B1536&lt;='111'!$O$11,OR($L1536=$O$7,$M1536=$O$7)),"x","")</f>
        <v/>
      </c>
      <c r="P1536" s="55" t="str">
        <f>IF(AND($L1536=$O$7,$B1536&lt;'111'!$N$11),"x","")</f>
        <v/>
      </c>
      <c r="Q1536" s="55" t="str">
        <f>IF(AND($M1536=$O$7,$B1536&lt;'111'!$N$11),"x","")</f>
        <v/>
      </c>
      <c r="R1536" s="55" t="str">
        <f>IF(ISERROR(FIND('112'!$M$9,G1536,1)),"",IF((AND(FIND('112'!$M$9,G1536,1)&gt;=1,$B1536&gt;='112'!$N$8,$B1536&lt;='112'!$O$8,OR($L1536='112'!$I$6,$M1536='112'!$I$6))),"x",""))</f>
        <v/>
      </c>
      <c r="S1536" s="55" t="str">
        <f>IF(ISERROR(FIND('112'!$M$9,G1536,1)),"",IF((AND(LEFT(G1536,2)=LEFT('112'!$M$9,2),B1536&lt;'112'!$N$8,$L1536='112'!$I$6)),"x",""))</f>
        <v/>
      </c>
      <c r="T1536" s="55" t="str">
        <f>IF(ISERROR(FIND('112'!$M$9,G1536,1)),"",IF((AND(RIGHT(G1536,2)=RIGHT('112'!$M$9,2),B1536&lt;'112'!$N$8,$M1536='112'!$I$6)),"x",""))</f>
        <v/>
      </c>
      <c r="U1536" s="55" t="str">
        <f>IF(AND('3411-CT'!$F$9=H1536,OR(LEFT(L1536,3)=$U$7,LEFT(M1536,3)=$U$7)),"x","")</f>
        <v/>
      </c>
      <c r="V1536" s="55" t="str">
        <f>IF(OR(TH!L1536=TH!$V$7,M1536=TH!$V$7),"x","")</f>
        <v/>
      </c>
      <c r="W1536" s="55" t="str">
        <f>IF(AND(OR(L1536="131",M1536="131"),H1536='131-CT'!$E$7),"x","")</f>
        <v/>
      </c>
      <c r="X1536" s="55" t="str">
        <f>IF(AND(B1536&gt;='IN-NX'!$P$3,B1536&lt;='IN-NX'!$Q$3,'IN-NX'!$D$7=D1536,OR(LEFT(TH!L1536,2)="15",LEFT(TH!M1536,2)="15")),"x","")</f>
        <v/>
      </c>
      <c r="Y1536" s="55" t="str">
        <f>IF(AND(OR(LEFT(TH!L1536,2)="15",LEFT(TH!M1536,2)="15"),'152-CT'!$J$8=TH!F1536),"x","")</f>
        <v/>
      </c>
      <c r="Z1536" s="55" t="str">
        <f>IF(AND(OR(LEFT(TH!L1536,2)="15",LEFT(TH!M1536,2)="15"),TK!$E$7=TH!F1536),"x","")</f>
        <v/>
      </c>
      <c r="AA1536" s="55" t="str">
        <f>IF(AND(B1536&lt;=NKC!$N$8,B1536&gt;=NKC!$M$8),"x","")</f>
        <v/>
      </c>
    </row>
    <row r="1537" spans="1:27" s="226" customFormat="1" ht="15.75" customHeight="1">
      <c r="A1537" s="219" t="str">
        <f>IF(B1537&lt;&gt;"",IF(AND(B1537&gt;=_TM1,B1537&lt;=_TM2,OR(TH!L1537="1111",TH!M1537="1111")),TH!D1537,""),"")</f>
        <v/>
      </c>
      <c r="B1537" s="36" t="str">
        <f t="shared" si="59"/>
        <v/>
      </c>
      <c r="C1537" s="37"/>
      <c r="D1537" s="205"/>
      <c r="E1537" s="205"/>
      <c r="F1537" s="206"/>
      <c r="G1537" s="206"/>
      <c r="H1537" s="207"/>
      <c r="I1537" s="277"/>
      <c r="J1537" s="277"/>
      <c r="K1537" s="38"/>
      <c r="L1537" s="208"/>
      <c r="M1537" s="208"/>
      <c r="N1537" s="55" t="str">
        <f>IF(AND('331-CT'!$E$7=TH!H1537,OR(L1537="331",M1537="331")),"x","")</f>
        <v/>
      </c>
      <c r="O1537" s="55" t="str">
        <f>IF(AND($B1537&gt;='111'!$N$11,$B1537&lt;='111'!$O$11,OR($L1537=$O$7,$M1537=$O$7)),"x","")</f>
        <v/>
      </c>
      <c r="P1537" s="55" t="str">
        <f>IF(AND($L1537=$O$7,$B1537&lt;'111'!$N$11),"x","")</f>
        <v/>
      </c>
      <c r="Q1537" s="55" t="str">
        <f>IF(AND($M1537=$O$7,$B1537&lt;'111'!$N$11),"x","")</f>
        <v/>
      </c>
      <c r="R1537" s="55" t="str">
        <f>IF(ISERROR(FIND('112'!$M$9,G1537,1)),"",IF((AND(FIND('112'!$M$9,G1537,1)&gt;=1,$B1537&gt;='112'!$N$8,$B1537&lt;='112'!$O$8,OR($L1537='112'!$I$6,$M1537='112'!$I$6))),"x",""))</f>
        <v/>
      </c>
      <c r="S1537" s="55" t="str">
        <f>IF(ISERROR(FIND('112'!$M$9,G1537,1)),"",IF((AND(LEFT(G1537,2)=LEFT('112'!$M$9,2),B1537&lt;'112'!$N$8,$L1537='112'!$I$6)),"x",""))</f>
        <v/>
      </c>
      <c r="T1537" s="55" t="str">
        <f>IF(ISERROR(FIND('112'!$M$9,G1537,1)),"",IF((AND(RIGHT(G1537,2)=RIGHT('112'!$M$9,2),B1537&lt;'112'!$N$8,$M1537='112'!$I$6)),"x",""))</f>
        <v/>
      </c>
      <c r="U1537" s="55" t="str">
        <f>IF(AND('3411-CT'!$F$9=H1537,OR(LEFT(L1537,3)=$U$7,LEFT(M1537,3)=$U$7)),"x","")</f>
        <v/>
      </c>
      <c r="V1537" s="55" t="str">
        <f>IF(OR(TH!L1537=TH!$V$7,M1537=TH!$V$7),"x","")</f>
        <v/>
      </c>
      <c r="W1537" s="55" t="str">
        <f>IF(AND(OR(L1537="131",M1537="131"),H1537='131-CT'!$E$7),"x","")</f>
        <v/>
      </c>
      <c r="X1537" s="55" t="str">
        <f>IF(AND(B1537&gt;='IN-NX'!$P$3,B1537&lt;='IN-NX'!$Q$3,'IN-NX'!$D$7=D1537,OR(LEFT(TH!L1537,2)="15",LEFT(TH!M1537,2)="15")),"x","")</f>
        <v/>
      </c>
      <c r="Y1537" s="55" t="str">
        <f>IF(AND(OR(LEFT(TH!L1537,2)="15",LEFT(TH!M1537,2)="15"),'152-CT'!$J$8=TH!F1537),"x","")</f>
        <v/>
      </c>
      <c r="Z1537" s="55" t="str">
        <f>IF(AND(OR(LEFT(TH!L1537,2)="15",LEFT(TH!M1537,2)="15"),TK!$E$7=TH!F1537),"x","")</f>
        <v/>
      </c>
      <c r="AA1537" s="55" t="str">
        <f>IF(AND(B1537&lt;=NKC!$N$8,B1537&gt;=NKC!$M$8),"x","")</f>
        <v/>
      </c>
    </row>
    <row r="1538" spans="1:27" s="226" customFormat="1" ht="15.75" customHeight="1">
      <c r="A1538" s="219" t="str">
        <f>IF(B1538&lt;&gt;"",IF(AND(B1538&gt;=_TM1,B1538&lt;=_TM2,OR(TH!L1538="1111",TH!M1538="1111")),TH!D1538,""),"")</f>
        <v/>
      </c>
      <c r="B1538" s="36" t="str">
        <f t="shared" si="59"/>
        <v/>
      </c>
      <c r="C1538" s="37"/>
      <c r="D1538" s="205"/>
      <c r="E1538" s="205"/>
      <c r="F1538" s="206"/>
      <c r="G1538" s="206"/>
      <c r="H1538" s="207"/>
      <c r="I1538" s="277"/>
      <c r="J1538" s="277"/>
      <c r="K1538" s="38"/>
      <c r="L1538" s="208"/>
      <c r="M1538" s="208"/>
      <c r="N1538" s="55" t="str">
        <f>IF(AND('331-CT'!$E$7=TH!H1538,OR(L1538="331",M1538="331")),"x","")</f>
        <v/>
      </c>
      <c r="O1538" s="55" t="str">
        <f>IF(AND($B1538&gt;='111'!$N$11,$B1538&lt;='111'!$O$11,OR($L1538=$O$7,$M1538=$O$7)),"x","")</f>
        <v/>
      </c>
      <c r="P1538" s="55" t="str">
        <f>IF(AND($L1538=$O$7,$B1538&lt;'111'!$N$11),"x","")</f>
        <v/>
      </c>
      <c r="Q1538" s="55" t="str">
        <f>IF(AND($M1538=$O$7,$B1538&lt;'111'!$N$11),"x","")</f>
        <v/>
      </c>
      <c r="R1538" s="55" t="str">
        <f>IF(ISERROR(FIND('112'!$M$9,G1538,1)),"",IF((AND(FIND('112'!$M$9,G1538,1)&gt;=1,$B1538&gt;='112'!$N$8,$B1538&lt;='112'!$O$8,OR($L1538='112'!$I$6,$M1538='112'!$I$6))),"x",""))</f>
        <v/>
      </c>
      <c r="S1538" s="55" t="str">
        <f>IF(ISERROR(FIND('112'!$M$9,G1538,1)),"",IF((AND(LEFT(G1538,2)=LEFT('112'!$M$9,2),B1538&lt;'112'!$N$8,$L1538='112'!$I$6)),"x",""))</f>
        <v/>
      </c>
      <c r="T1538" s="55" t="str">
        <f>IF(ISERROR(FIND('112'!$M$9,G1538,1)),"",IF((AND(RIGHT(G1538,2)=RIGHT('112'!$M$9,2),B1538&lt;'112'!$N$8,$M1538='112'!$I$6)),"x",""))</f>
        <v/>
      </c>
      <c r="U1538" s="55" t="str">
        <f>IF(AND('3411-CT'!$F$9=H1538,OR(LEFT(L1538,3)=$U$7,LEFT(M1538,3)=$U$7)),"x","")</f>
        <v/>
      </c>
      <c r="V1538" s="55" t="str">
        <f>IF(OR(TH!L1538=TH!$V$7,M1538=TH!$V$7),"x","")</f>
        <v/>
      </c>
      <c r="W1538" s="55" t="str">
        <f>IF(AND(OR(L1538="131",M1538="131"),H1538='131-CT'!$E$7),"x","")</f>
        <v/>
      </c>
      <c r="X1538" s="55" t="str">
        <f>IF(AND(B1538&gt;='IN-NX'!$P$3,B1538&lt;='IN-NX'!$Q$3,'IN-NX'!$D$7=D1538,OR(LEFT(TH!L1538,2)="15",LEFT(TH!M1538,2)="15")),"x","")</f>
        <v/>
      </c>
      <c r="Y1538" s="55" t="str">
        <f>IF(AND(OR(LEFT(TH!L1538,2)="15",LEFT(TH!M1538,2)="15"),'152-CT'!$J$8=TH!F1538),"x","")</f>
        <v/>
      </c>
      <c r="Z1538" s="55" t="str">
        <f>IF(AND(OR(LEFT(TH!L1538,2)="15",LEFT(TH!M1538,2)="15"),TK!$E$7=TH!F1538),"x","")</f>
        <v/>
      </c>
      <c r="AA1538" s="55" t="str">
        <f>IF(AND(B1538&lt;=NKC!$N$8,B1538&gt;=NKC!$M$8),"x","")</f>
        <v/>
      </c>
    </row>
    <row r="1539" spans="1:27" s="226" customFormat="1" ht="15.75" customHeight="1">
      <c r="A1539" s="219" t="str">
        <f>IF(B1539&lt;&gt;"",IF(AND(B1539&gt;=_TM1,B1539&lt;=_TM2,OR(TH!L1539="1111",TH!M1539="1111")),TH!D1539,""),"")</f>
        <v/>
      </c>
      <c r="B1539" s="36" t="str">
        <f t="shared" si="59"/>
        <v/>
      </c>
      <c r="C1539" s="37"/>
      <c r="D1539" s="205"/>
      <c r="E1539" s="205"/>
      <c r="F1539" s="206"/>
      <c r="G1539" s="206"/>
      <c r="H1539" s="207"/>
      <c r="I1539" s="277"/>
      <c r="J1539" s="277"/>
      <c r="K1539" s="38"/>
      <c r="L1539" s="208"/>
      <c r="M1539" s="208"/>
      <c r="N1539" s="55" t="str">
        <f>IF(AND('331-CT'!$E$7=TH!H1539,OR(L1539="331",M1539="331")),"x","")</f>
        <v/>
      </c>
      <c r="O1539" s="55" t="str">
        <f>IF(AND($B1539&gt;='111'!$N$11,$B1539&lt;='111'!$O$11,OR($L1539=$O$7,$M1539=$O$7)),"x","")</f>
        <v/>
      </c>
      <c r="P1539" s="55" t="str">
        <f>IF(AND($L1539=$O$7,$B1539&lt;'111'!$N$11),"x","")</f>
        <v/>
      </c>
      <c r="Q1539" s="55" t="str">
        <f>IF(AND($M1539=$O$7,$B1539&lt;'111'!$N$11),"x","")</f>
        <v/>
      </c>
      <c r="R1539" s="55" t="str">
        <f>IF(ISERROR(FIND('112'!$M$9,G1539,1)),"",IF((AND(FIND('112'!$M$9,G1539,1)&gt;=1,$B1539&gt;='112'!$N$8,$B1539&lt;='112'!$O$8,OR($L1539='112'!$I$6,$M1539='112'!$I$6))),"x",""))</f>
        <v/>
      </c>
      <c r="S1539" s="55" t="str">
        <f>IF(ISERROR(FIND('112'!$M$9,G1539,1)),"",IF((AND(LEFT(G1539,2)=LEFT('112'!$M$9,2),B1539&lt;'112'!$N$8,$L1539='112'!$I$6)),"x",""))</f>
        <v/>
      </c>
      <c r="T1539" s="55" t="str">
        <f>IF(ISERROR(FIND('112'!$M$9,G1539,1)),"",IF((AND(RIGHT(G1539,2)=RIGHT('112'!$M$9,2),B1539&lt;'112'!$N$8,$M1539='112'!$I$6)),"x",""))</f>
        <v/>
      </c>
      <c r="U1539" s="55" t="str">
        <f>IF(AND('3411-CT'!$F$9=H1539,OR(LEFT(L1539,3)=$U$7,LEFT(M1539,3)=$U$7)),"x","")</f>
        <v/>
      </c>
      <c r="V1539" s="55" t="str">
        <f>IF(OR(TH!L1539=TH!$V$7,M1539=TH!$V$7),"x","")</f>
        <v/>
      </c>
      <c r="W1539" s="55" t="str">
        <f>IF(AND(OR(L1539="131",M1539="131"),H1539='131-CT'!$E$7),"x","")</f>
        <v/>
      </c>
      <c r="X1539" s="55" t="str">
        <f>IF(AND(B1539&gt;='IN-NX'!$P$3,B1539&lt;='IN-NX'!$Q$3,'IN-NX'!$D$7=D1539,OR(LEFT(TH!L1539,2)="15",LEFT(TH!M1539,2)="15")),"x","")</f>
        <v/>
      </c>
      <c r="Y1539" s="55" t="str">
        <f>IF(AND(OR(LEFT(TH!L1539,2)="15",LEFT(TH!M1539,2)="15"),'152-CT'!$J$8=TH!F1539),"x","")</f>
        <v/>
      </c>
      <c r="Z1539" s="55" t="str">
        <f>IF(AND(OR(LEFT(TH!L1539,2)="15",LEFT(TH!M1539,2)="15"),TK!$E$7=TH!F1539),"x","")</f>
        <v/>
      </c>
      <c r="AA1539" s="55" t="str">
        <f>IF(AND(B1539&lt;=NKC!$N$8,B1539&gt;=NKC!$M$8),"x","")</f>
        <v/>
      </c>
    </row>
    <row r="1540" spans="1:27" s="226" customFormat="1" ht="15.75" customHeight="1">
      <c r="A1540" s="219" t="str">
        <f>IF(B1540&lt;&gt;"",IF(AND(B1540&gt;=_TM1,B1540&lt;=_TM2,OR(TH!L1540="1111",TH!M1540="1111")),TH!D1540,""),"")</f>
        <v/>
      </c>
      <c r="B1540" s="36" t="str">
        <f t="shared" si="59"/>
        <v/>
      </c>
      <c r="C1540" s="37"/>
      <c r="D1540" s="37"/>
      <c r="E1540" s="37"/>
      <c r="F1540" s="40"/>
      <c r="G1540" s="580"/>
      <c r="H1540" s="225"/>
      <c r="I1540" s="278"/>
      <c r="J1540" s="278"/>
      <c r="K1540" s="215"/>
      <c r="L1540" s="208"/>
      <c r="M1540" s="39"/>
      <c r="N1540" s="55" t="str">
        <f>IF(AND('331-CT'!$E$7=TH!H1540,OR(L1540="331",M1540="331")),"x","")</f>
        <v/>
      </c>
      <c r="O1540" s="55" t="str">
        <f>IF(AND($B1540&gt;='111'!$N$11,$B1540&lt;='111'!$O$11,OR($L1540=$O$7,$M1540=$O$7)),"x","")</f>
        <v/>
      </c>
      <c r="P1540" s="55" t="str">
        <f>IF(AND($L1540=$O$7,$B1540&lt;'111'!$N$11),"x","")</f>
        <v/>
      </c>
      <c r="Q1540" s="55" t="str">
        <f>IF(AND($M1540=$O$7,$B1540&lt;'111'!$N$11),"x","")</f>
        <v/>
      </c>
      <c r="R1540" s="55" t="str">
        <f>IF(ISERROR(FIND('112'!$M$9,G1540,1)),"",IF((AND(FIND('112'!$M$9,G1540,1)&gt;=1,$B1540&gt;='112'!$N$8,$B1540&lt;='112'!$O$8,OR($L1540='112'!$I$6,$M1540='112'!$I$6))),"x",""))</f>
        <v/>
      </c>
      <c r="S1540" s="55" t="str">
        <f>IF(ISERROR(FIND('112'!$M$9,G1540,1)),"",IF((AND(LEFT(G1540,2)=LEFT('112'!$M$9,2),B1540&lt;'112'!$N$8,$L1540='112'!$I$6)),"x",""))</f>
        <v/>
      </c>
      <c r="T1540" s="55" t="str">
        <f>IF(ISERROR(FIND('112'!$M$9,G1540,1)),"",IF((AND(RIGHT(G1540,2)=RIGHT('112'!$M$9,2),B1540&lt;'112'!$N$8,$M1540='112'!$I$6)),"x",""))</f>
        <v/>
      </c>
      <c r="U1540" s="55" t="str">
        <f>IF(AND('3411-CT'!$F$9=H1540,OR(LEFT(L1540,3)=$U$7,LEFT(M1540,3)=$U$7)),"x","")</f>
        <v/>
      </c>
      <c r="V1540" s="55" t="str">
        <f>IF(OR(TH!L1540=TH!$V$7,M1540=TH!$V$7),"x","")</f>
        <v/>
      </c>
      <c r="W1540" s="55" t="str">
        <f>IF(AND(OR(L1540="131",M1540="131"),H1540='131-CT'!$E$7),"x","")</f>
        <v/>
      </c>
      <c r="X1540" s="55" t="str">
        <f>IF(AND(B1540&gt;='IN-NX'!$P$3,B1540&lt;='IN-NX'!$Q$3,'IN-NX'!$D$7=D1540,OR(LEFT(TH!L1540,2)="15",LEFT(TH!M1540,2)="15")),"x","")</f>
        <v/>
      </c>
      <c r="Y1540" s="55" t="str">
        <f>IF(AND(OR(LEFT(TH!L1540,2)="15",LEFT(TH!M1540,2)="15"),'152-CT'!$J$8=TH!F1540),"x","")</f>
        <v/>
      </c>
      <c r="Z1540" s="55" t="str">
        <f>IF(AND(OR(LEFT(TH!L1540,2)="15",LEFT(TH!M1540,2)="15"),TK!$E$7=TH!F1540),"x","")</f>
        <v/>
      </c>
      <c r="AA1540" s="55" t="str">
        <f>IF(AND(B1540&lt;=NKC!$N$8,B1540&gt;=NKC!$M$8),"x","")</f>
        <v/>
      </c>
    </row>
    <row r="1541" spans="1:27" s="226" customFormat="1" ht="15.75" customHeight="1">
      <c r="A1541" s="219" t="str">
        <f>IF(B1541&lt;&gt;"",IF(AND(B1541&gt;=_TM1,B1541&lt;=_TM2,OR(TH!L1541="1111",TH!M1541="1111")),TH!D1541,""),"")</f>
        <v/>
      </c>
      <c r="B1541" s="36" t="str">
        <f t="shared" si="59"/>
        <v/>
      </c>
      <c r="C1541" s="37"/>
      <c r="D1541" s="37"/>
      <c r="E1541" s="37"/>
      <c r="F1541" s="40"/>
      <c r="G1541" s="580"/>
      <c r="H1541" s="225"/>
      <c r="I1541" s="278"/>
      <c r="J1541" s="278"/>
      <c r="K1541" s="38"/>
      <c r="L1541" s="208"/>
      <c r="M1541" s="39"/>
      <c r="N1541" s="55" t="str">
        <f>IF(AND('331-CT'!$E$7=TH!H1541,OR(L1541="331",M1541="331")),"x","")</f>
        <v/>
      </c>
      <c r="O1541" s="55" t="str">
        <f>IF(AND($B1541&gt;='111'!$N$11,$B1541&lt;='111'!$O$11,OR($L1541=$O$7,$M1541=$O$7)),"x","")</f>
        <v/>
      </c>
      <c r="P1541" s="55" t="str">
        <f>IF(AND($L1541=$O$7,$B1541&lt;'111'!$N$11),"x","")</f>
        <v/>
      </c>
      <c r="Q1541" s="55" t="str">
        <f>IF(AND($M1541=$O$7,$B1541&lt;'111'!$N$11),"x","")</f>
        <v/>
      </c>
      <c r="R1541" s="55" t="str">
        <f>IF(ISERROR(FIND('112'!$M$9,G1541,1)),"",IF((AND(FIND('112'!$M$9,G1541,1)&gt;=1,$B1541&gt;='112'!$N$8,$B1541&lt;='112'!$O$8,OR($L1541='112'!$I$6,$M1541='112'!$I$6))),"x",""))</f>
        <v/>
      </c>
      <c r="S1541" s="55" t="str">
        <f>IF(ISERROR(FIND('112'!$M$9,G1541,1)),"",IF((AND(LEFT(G1541,2)=LEFT('112'!$M$9,2),B1541&lt;'112'!$N$8,$L1541='112'!$I$6)),"x",""))</f>
        <v/>
      </c>
      <c r="T1541" s="55" t="str">
        <f>IF(ISERROR(FIND('112'!$M$9,G1541,1)),"",IF((AND(RIGHT(G1541,2)=RIGHT('112'!$M$9,2),B1541&lt;'112'!$N$8,$M1541='112'!$I$6)),"x",""))</f>
        <v/>
      </c>
      <c r="U1541" s="55" t="str">
        <f>IF(AND('3411-CT'!$F$9=H1541,OR(LEFT(L1541,3)=$U$7,LEFT(M1541,3)=$U$7)),"x","")</f>
        <v/>
      </c>
      <c r="V1541" s="55" t="str">
        <f>IF(OR(TH!L1541=TH!$V$7,M1541=TH!$V$7),"x","")</f>
        <v/>
      </c>
      <c r="W1541" s="55" t="str">
        <f>IF(AND(OR(L1541="131",M1541="131"),H1541='131-CT'!$E$7),"x","")</f>
        <v/>
      </c>
      <c r="X1541" s="55" t="str">
        <f>IF(AND(B1541&gt;='IN-NX'!$P$3,B1541&lt;='IN-NX'!$Q$3,'IN-NX'!$D$7=D1541,OR(LEFT(TH!L1541,2)="15",LEFT(TH!M1541,2)="15")),"x","")</f>
        <v/>
      </c>
      <c r="Y1541" s="55" t="str">
        <f>IF(AND(OR(LEFT(TH!L1541,2)="15",LEFT(TH!M1541,2)="15"),'152-CT'!$J$8=TH!F1541),"x","")</f>
        <v/>
      </c>
      <c r="Z1541" s="55" t="str">
        <f>IF(AND(OR(LEFT(TH!L1541,2)="15",LEFT(TH!M1541,2)="15"),TK!$E$7=TH!F1541),"x","")</f>
        <v/>
      </c>
      <c r="AA1541" s="55" t="str">
        <f>IF(AND(B1541&lt;=NKC!$N$8,B1541&gt;=NKC!$M$8),"x","")</f>
        <v/>
      </c>
    </row>
    <row r="1542" spans="1:27" s="226" customFormat="1" ht="15.75" customHeight="1">
      <c r="A1542" s="219" t="str">
        <f>IF(B1542&lt;&gt;"",IF(AND(B1542&gt;=_TM1,B1542&lt;=_TM2,OR(TH!L1542="1111",TH!M1542="1111")),TH!D1542,""),"")</f>
        <v/>
      </c>
      <c r="B1542" s="36" t="str">
        <f t="shared" si="59"/>
        <v/>
      </c>
      <c r="C1542" s="37"/>
      <c r="D1542" s="37"/>
      <c r="E1542" s="37"/>
      <c r="F1542" s="40"/>
      <c r="G1542" s="580"/>
      <c r="H1542" s="45"/>
      <c r="I1542" s="277"/>
      <c r="J1542" s="277"/>
      <c r="K1542" s="38"/>
      <c r="L1542" s="39"/>
      <c r="M1542" s="39"/>
      <c r="N1542" s="55" t="str">
        <f>IF(AND('331-CT'!$E$7=TH!H1542,OR(L1542="331",M1542="331")),"x","")</f>
        <v/>
      </c>
      <c r="O1542" s="55" t="str">
        <f>IF(AND($B1542&gt;='111'!$N$11,$B1542&lt;='111'!$O$11,OR($L1542=$O$7,$M1542=$O$7)),"x","")</f>
        <v/>
      </c>
      <c r="P1542" s="55" t="str">
        <f>IF(AND($L1542=$O$7,$B1542&lt;'111'!$N$11),"x","")</f>
        <v/>
      </c>
      <c r="Q1542" s="55" t="str">
        <f>IF(AND($M1542=$O$7,$B1542&lt;'111'!$N$11),"x","")</f>
        <v/>
      </c>
      <c r="R1542" s="55" t="str">
        <f>IF(ISERROR(FIND('112'!$M$9,G1542,1)),"",IF((AND(FIND('112'!$M$9,G1542,1)&gt;=1,$B1542&gt;='112'!$N$8,$B1542&lt;='112'!$O$8,OR($L1542='112'!$I$6,$M1542='112'!$I$6))),"x",""))</f>
        <v/>
      </c>
      <c r="S1542" s="55" t="str">
        <f>IF(ISERROR(FIND('112'!$M$9,G1542,1)),"",IF((AND(LEFT(G1542,2)=LEFT('112'!$M$9,2),B1542&lt;'112'!$N$8,$L1542='112'!$I$6)),"x",""))</f>
        <v/>
      </c>
      <c r="T1542" s="55" t="str">
        <f>IF(ISERROR(FIND('112'!$M$9,G1542,1)),"",IF((AND(RIGHT(G1542,2)=RIGHT('112'!$M$9,2),B1542&lt;'112'!$N$8,$M1542='112'!$I$6)),"x",""))</f>
        <v/>
      </c>
      <c r="U1542" s="55" t="str">
        <f>IF(AND('3411-CT'!$F$9=H1542,OR(LEFT(L1542,3)=$U$7,LEFT(M1542,3)=$U$7)),"x","")</f>
        <v/>
      </c>
      <c r="V1542" s="55" t="str">
        <f>IF(OR(TH!L1542=TH!$V$7,M1542=TH!$V$7),"x","")</f>
        <v/>
      </c>
      <c r="W1542" s="55" t="str">
        <f>IF(AND(OR(L1542="131",M1542="131"),H1542='131-CT'!$E$7),"x","")</f>
        <v/>
      </c>
      <c r="X1542" s="55" t="str">
        <f>IF(AND(B1542&gt;='IN-NX'!$P$3,B1542&lt;='IN-NX'!$Q$3,'IN-NX'!$D$7=D1542,OR(LEFT(TH!L1542,2)="15",LEFT(TH!M1542,2)="15")),"x","")</f>
        <v/>
      </c>
      <c r="Y1542" s="55" t="str">
        <f>IF(AND(OR(LEFT(TH!L1542,2)="15",LEFT(TH!M1542,2)="15"),'152-CT'!$J$8=TH!F1542),"x","")</f>
        <v/>
      </c>
      <c r="Z1542" s="55" t="str">
        <f>IF(AND(OR(LEFT(TH!L1542,2)="15",LEFT(TH!M1542,2)="15"),TK!$E$7=TH!F1542),"x","")</f>
        <v/>
      </c>
      <c r="AA1542" s="55" t="str">
        <f>IF(AND(B1542&lt;=NKC!$N$8,B1542&gt;=NKC!$M$8),"x","")</f>
        <v/>
      </c>
    </row>
    <row r="1543" spans="1:27" s="226" customFormat="1" ht="15.75" customHeight="1">
      <c r="A1543" s="219" t="str">
        <f>IF(B1543&lt;&gt;"",IF(AND(B1543&gt;=_TM1,B1543&lt;=_TM2,OR(TH!L1543="1111",TH!M1543="1111")),TH!D1543,""),"")</f>
        <v/>
      </c>
      <c r="B1543" s="36" t="str">
        <f t="shared" si="59"/>
        <v/>
      </c>
      <c r="C1543" s="37"/>
      <c r="D1543" s="37"/>
      <c r="E1543" s="37"/>
      <c r="F1543" s="40"/>
      <c r="G1543" s="580"/>
      <c r="H1543" s="45"/>
      <c r="I1543" s="277"/>
      <c r="J1543" s="277"/>
      <c r="K1543" s="38"/>
      <c r="L1543" s="39"/>
      <c r="M1543" s="39"/>
      <c r="N1543" s="55" t="str">
        <f>IF(AND('331-CT'!$E$7=TH!H1543,OR(L1543="331",M1543="331")),"x","")</f>
        <v/>
      </c>
      <c r="O1543" s="55" t="str">
        <f>IF(AND($B1543&gt;='111'!$N$11,$B1543&lt;='111'!$O$11,OR($L1543=$O$7,$M1543=$O$7)),"x","")</f>
        <v/>
      </c>
      <c r="P1543" s="55" t="str">
        <f>IF(AND($L1543=$O$7,$B1543&lt;'111'!$N$11),"x","")</f>
        <v/>
      </c>
      <c r="Q1543" s="55" t="str">
        <f>IF(AND($M1543=$O$7,$B1543&lt;'111'!$N$11),"x","")</f>
        <v/>
      </c>
      <c r="R1543" s="55" t="str">
        <f>IF(ISERROR(FIND('112'!$M$9,G1543,1)),"",IF((AND(FIND('112'!$M$9,G1543,1)&gt;=1,$B1543&gt;='112'!$N$8,$B1543&lt;='112'!$O$8,OR($L1543='112'!$I$6,$M1543='112'!$I$6))),"x",""))</f>
        <v/>
      </c>
      <c r="S1543" s="55" t="str">
        <f>IF(ISERROR(FIND('112'!$M$9,G1543,1)),"",IF((AND(LEFT(G1543,2)=LEFT('112'!$M$9,2),B1543&lt;'112'!$N$8,$L1543='112'!$I$6)),"x",""))</f>
        <v/>
      </c>
      <c r="T1543" s="55" t="str">
        <f>IF(ISERROR(FIND('112'!$M$9,G1543,1)),"",IF((AND(RIGHT(G1543,2)=RIGHT('112'!$M$9,2),B1543&lt;'112'!$N$8,$M1543='112'!$I$6)),"x",""))</f>
        <v/>
      </c>
      <c r="U1543" s="55" t="str">
        <f>IF(AND('3411-CT'!$F$9=H1543,OR(LEFT(L1543,3)=$U$7,LEFT(M1543,3)=$U$7)),"x","")</f>
        <v/>
      </c>
      <c r="V1543" s="55" t="str">
        <f>IF(OR(TH!L1543=TH!$V$7,M1543=TH!$V$7),"x","")</f>
        <v/>
      </c>
      <c r="W1543" s="55" t="str">
        <f>IF(AND(OR(L1543="131",M1543="131"),H1543='131-CT'!$E$7),"x","")</f>
        <v/>
      </c>
      <c r="X1543" s="55" t="str">
        <f>IF(AND(B1543&gt;='IN-NX'!$P$3,B1543&lt;='IN-NX'!$Q$3,'IN-NX'!$D$7=D1543,OR(LEFT(TH!L1543,2)="15",LEFT(TH!M1543,2)="15")),"x","")</f>
        <v/>
      </c>
      <c r="Y1543" s="55" t="str">
        <f>IF(AND(OR(LEFT(TH!L1543,2)="15",LEFT(TH!M1543,2)="15"),'152-CT'!$J$8=TH!F1543),"x","")</f>
        <v/>
      </c>
      <c r="Z1543" s="55" t="str">
        <f>IF(AND(OR(LEFT(TH!L1543,2)="15",LEFT(TH!M1543,2)="15"),TK!$E$7=TH!F1543),"x","")</f>
        <v/>
      </c>
      <c r="AA1543" s="55" t="str">
        <f>IF(AND(B1543&lt;=NKC!$N$8,B1543&gt;=NKC!$M$8),"x","")</f>
        <v/>
      </c>
    </row>
    <row r="1544" spans="1:27" s="226" customFormat="1" ht="15.75" customHeight="1">
      <c r="A1544" s="219" t="str">
        <f>IF(B1544&lt;&gt;"",IF(AND(B1544&gt;=_TM1,B1544&lt;=_TM2,OR(TH!L1544="1111",TH!M1544="1111")),TH!D1544,""),"")</f>
        <v/>
      </c>
      <c r="B1544" s="36" t="str">
        <f t="shared" si="59"/>
        <v/>
      </c>
      <c r="C1544" s="37"/>
      <c r="D1544" s="37"/>
      <c r="E1544" s="37"/>
      <c r="F1544" s="40"/>
      <c r="G1544" s="580"/>
      <c r="H1544" s="45"/>
      <c r="I1544" s="277"/>
      <c r="J1544" s="277"/>
      <c r="K1544" s="38"/>
      <c r="L1544" s="39"/>
      <c r="M1544" s="39"/>
      <c r="N1544" s="55" t="str">
        <f>IF(AND('331-CT'!$E$7=TH!H1544,OR(L1544="331",M1544="331")),"x","")</f>
        <v/>
      </c>
      <c r="O1544" s="55" t="str">
        <f>IF(AND($B1544&gt;='111'!$N$11,$B1544&lt;='111'!$O$11,OR($L1544=$O$7,$M1544=$O$7)),"x","")</f>
        <v/>
      </c>
      <c r="P1544" s="55" t="str">
        <f>IF(AND($L1544=$O$7,$B1544&lt;'111'!$N$11),"x","")</f>
        <v/>
      </c>
      <c r="Q1544" s="55" t="str">
        <f>IF(AND($M1544=$O$7,$B1544&lt;'111'!$N$11),"x","")</f>
        <v/>
      </c>
      <c r="R1544" s="55" t="str">
        <f>IF(ISERROR(FIND('112'!$M$9,G1544,1)),"",IF((AND(FIND('112'!$M$9,G1544,1)&gt;=1,$B1544&gt;='112'!$N$8,$B1544&lt;='112'!$O$8,OR($L1544='112'!$I$6,$M1544='112'!$I$6))),"x",""))</f>
        <v/>
      </c>
      <c r="S1544" s="55" t="str">
        <f>IF(ISERROR(FIND('112'!$M$9,G1544,1)),"",IF((AND(LEFT(G1544,2)=LEFT('112'!$M$9,2),B1544&lt;'112'!$N$8,$L1544='112'!$I$6)),"x",""))</f>
        <v/>
      </c>
      <c r="T1544" s="55" t="str">
        <f>IF(ISERROR(FIND('112'!$M$9,G1544,1)),"",IF((AND(RIGHT(G1544,2)=RIGHT('112'!$M$9,2),B1544&lt;'112'!$N$8,$M1544='112'!$I$6)),"x",""))</f>
        <v/>
      </c>
      <c r="U1544" s="55" t="str">
        <f>IF(AND('3411-CT'!$F$9=H1544,OR(LEFT(L1544,3)=$U$7,LEFT(M1544,3)=$U$7)),"x","")</f>
        <v/>
      </c>
      <c r="V1544" s="55" t="str">
        <f>IF(OR(TH!L1544=TH!$V$7,M1544=TH!$V$7),"x","")</f>
        <v/>
      </c>
      <c r="W1544" s="55" t="str">
        <f>IF(AND(OR(L1544="131",M1544="131"),H1544='131-CT'!$E$7),"x","")</f>
        <v/>
      </c>
      <c r="X1544" s="55" t="str">
        <f>IF(AND(B1544&gt;='IN-NX'!$P$3,B1544&lt;='IN-NX'!$Q$3,'IN-NX'!$D$7=D1544,OR(LEFT(TH!L1544,2)="15",LEFT(TH!M1544,2)="15")),"x","")</f>
        <v/>
      </c>
      <c r="Y1544" s="55" t="str">
        <f>IF(AND(OR(LEFT(TH!L1544,2)="15",LEFT(TH!M1544,2)="15"),'152-CT'!$J$8=TH!F1544),"x","")</f>
        <v/>
      </c>
      <c r="Z1544" s="55" t="str">
        <f>IF(AND(OR(LEFT(TH!L1544,2)="15",LEFT(TH!M1544,2)="15"),TK!$E$7=TH!F1544),"x","")</f>
        <v/>
      </c>
      <c r="AA1544" s="55" t="str">
        <f>IF(AND(B1544&lt;=NKC!$N$8,B1544&gt;=NKC!$M$8),"x","")</f>
        <v/>
      </c>
    </row>
    <row r="1545" spans="1:27" s="226" customFormat="1" ht="15.75" customHeight="1">
      <c r="A1545" s="219" t="str">
        <f>IF(B1545&lt;&gt;"",IF(AND(B1545&gt;=_TM1,B1545&lt;=_TM2,OR(TH!L1545="1111",TH!M1545="1111")),TH!D1545,""),"")</f>
        <v/>
      </c>
      <c r="B1545" s="36" t="str">
        <f t="shared" si="59"/>
        <v/>
      </c>
      <c r="C1545" s="37"/>
      <c r="D1545" s="37"/>
      <c r="E1545" s="205"/>
      <c r="F1545" s="206"/>
      <c r="G1545" s="40"/>
      <c r="H1545" s="45"/>
      <c r="I1545" s="277"/>
      <c r="J1545" s="277"/>
      <c r="K1545" s="38"/>
      <c r="L1545" s="208"/>
      <c r="M1545" s="208"/>
      <c r="N1545" s="55" t="str">
        <f>IF(AND('331-CT'!$E$7=TH!H1545,OR(L1545="331",M1545="331")),"x","")</f>
        <v/>
      </c>
      <c r="O1545" s="55" t="str">
        <f>IF(AND($B1545&gt;='111'!$N$11,$B1545&lt;='111'!$O$11,OR($L1545=$O$7,$M1545=$O$7)),"x","")</f>
        <v/>
      </c>
      <c r="P1545" s="55" t="str">
        <f>IF(AND($L1545=$O$7,$B1545&lt;'111'!$N$11),"x","")</f>
        <v/>
      </c>
      <c r="Q1545" s="55" t="str">
        <f>IF(AND($M1545=$O$7,$B1545&lt;'111'!$N$11),"x","")</f>
        <v/>
      </c>
      <c r="R1545" s="55" t="str">
        <f>IF(ISERROR(FIND('112'!$M$9,G1545,1)),"",IF((AND(FIND('112'!$M$9,G1545,1)&gt;=1,$B1545&gt;='112'!$N$8,$B1545&lt;='112'!$O$8,OR($L1545='112'!$I$6,$M1545='112'!$I$6))),"x",""))</f>
        <v/>
      </c>
      <c r="S1545" s="55" t="str">
        <f>IF(ISERROR(FIND('112'!$M$9,G1545,1)),"",IF((AND(LEFT(G1545,2)=LEFT('112'!$M$9,2),B1545&lt;'112'!$N$8,$L1545='112'!$I$6)),"x",""))</f>
        <v/>
      </c>
      <c r="T1545" s="55" t="str">
        <f>IF(ISERROR(FIND('112'!$M$9,G1545,1)),"",IF((AND(RIGHT(G1545,2)=RIGHT('112'!$M$9,2),B1545&lt;'112'!$N$8,$M1545='112'!$I$6)),"x",""))</f>
        <v/>
      </c>
      <c r="U1545" s="55" t="str">
        <f>IF(AND('3411-CT'!$F$9=H1545,OR(LEFT(L1545,3)=$U$7,LEFT(M1545,3)=$U$7)),"x","")</f>
        <v/>
      </c>
      <c r="V1545" s="55" t="str">
        <f>IF(OR(TH!L1545=TH!$V$7,M1545=TH!$V$7),"x","")</f>
        <v/>
      </c>
      <c r="W1545" s="55" t="str">
        <f>IF(AND(OR(L1545="131",M1545="131"),H1545='131-CT'!$E$7),"x","")</f>
        <v/>
      </c>
      <c r="X1545" s="55" t="str">
        <f>IF(AND(B1545&gt;='IN-NX'!$P$3,B1545&lt;='IN-NX'!$Q$3,'IN-NX'!$D$7=D1545,OR(LEFT(TH!L1545,2)="15",LEFT(TH!M1545,2)="15")),"x","")</f>
        <v/>
      </c>
      <c r="Y1545" s="55" t="str">
        <f>IF(AND(OR(LEFT(TH!L1545,2)="15",LEFT(TH!M1545,2)="15"),'152-CT'!$J$8=TH!F1545),"x","")</f>
        <v/>
      </c>
      <c r="Z1545" s="55" t="str">
        <f>IF(AND(OR(LEFT(TH!L1545,2)="15",LEFT(TH!M1545,2)="15"),TK!$E$7=TH!F1545),"x","")</f>
        <v/>
      </c>
      <c r="AA1545" s="55" t="str">
        <f>IF(AND(B1545&lt;=NKC!$N$8,B1545&gt;=NKC!$M$8),"x","")</f>
        <v/>
      </c>
    </row>
    <row r="1546" spans="1:27" ht="15.75" customHeight="1">
      <c r="A1546" s="219" t="str">
        <f>IF(B1546&lt;&gt;"",IF(AND(B1546&gt;=_TM1,B1546&lt;=_TM2,OR(TH!L1546="1111",TH!M1546="1111")),TH!D1546,""),"")</f>
        <v/>
      </c>
      <c r="B1546" s="36" t="str">
        <f t="shared" si="59"/>
        <v/>
      </c>
      <c r="C1546" s="37"/>
      <c r="D1546" s="205"/>
      <c r="E1546" s="205"/>
      <c r="F1546" s="206"/>
      <c r="G1546" s="206"/>
      <c r="H1546" s="207"/>
      <c r="I1546" s="277"/>
      <c r="J1546" s="277"/>
      <c r="K1546" s="38"/>
      <c r="L1546" s="208"/>
      <c r="M1546" s="208"/>
      <c r="N1546" s="55" t="str">
        <f>IF(AND('331-CT'!$E$7=TH!H1546,OR(L1546="331",M1546="331")),"x","")</f>
        <v/>
      </c>
      <c r="O1546" s="55" t="str">
        <f>IF(AND($B1546&gt;='111'!$N$11,$B1546&lt;='111'!$O$11,OR($L1546=$O$7,$M1546=$O$7)),"x","")</f>
        <v/>
      </c>
      <c r="P1546" s="55" t="str">
        <f>IF(AND($L1546=$O$7,$B1546&lt;'111'!$N$11),"x","")</f>
        <v/>
      </c>
      <c r="Q1546" s="55" t="str">
        <f>IF(AND($M1546=$O$7,$B1546&lt;'111'!$N$11),"x","")</f>
        <v/>
      </c>
      <c r="R1546" s="55" t="str">
        <f>IF(ISERROR(FIND('112'!$M$9,G1546,1)),"",IF((AND(FIND('112'!$M$9,G1546,1)&gt;=1,$B1546&gt;='112'!$N$8,$B1546&lt;='112'!$O$8,OR($L1546='112'!$I$6,$M1546='112'!$I$6))),"x",""))</f>
        <v/>
      </c>
      <c r="S1546" s="55" t="str">
        <f>IF(ISERROR(FIND('112'!$M$9,G1546,1)),"",IF((AND(LEFT(G1546,2)=LEFT('112'!$M$9,2),B1546&lt;'112'!$N$8,$L1546='112'!$I$6)),"x",""))</f>
        <v/>
      </c>
      <c r="T1546" s="55" t="str">
        <f>IF(ISERROR(FIND('112'!$M$9,G1546,1)),"",IF((AND(RIGHT(G1546,2)=RIGHT('112'!$M$9,2),B1546&lt;'112'!$N$8,$M1546='112'!$I$6)),"x",""))</f>
        <v/>
      </c>
      <c r="U1546" s="55" t="str">
        <f>IF(AND('3411-CT'!$F$9=H1546,OR(LEFT(L1546,3)=$U$7,LEFT(M1546,3)=$U$7)),"x","")</f>
        <v/>
      </c>
      <c r="V1546" s="55" t="str">
        <f>IF(OR(TH!L1546=TH!$V$7,M1546=TH!$V$7),"x","")</f>
        <v/>
      </c>
      <c r="W1546" s="55" t="str">
        <f>IF(AND(OR(L1546="131",M1546="131"),H1546='131-CT'!$E$7),"x","")</f>
        <v/>
      </c>
      <c r="X1546" s="55" t="str">
        <f>IF(AND(B1546&gt;='IN-NX'!$P$3,B1546&lt;='IN-NX'!$Q$3,'IN-NX'!$D$7=D1546,OR(LEFT(TH!L1546,2)="15",LEFT(TH!M1546,2)="15")),"x","")</f>
        <v/>
      </c>
      <c r="Y1546" s="55" t="str">
        <f>IF(AND(OR(LEFT(TH!L1546,2)="15",LEFT(TH!M1546,2)="15"),'152-CT'!$J$8=TH!F1546),"x","")</f>
        <v/>
      </c>
      <c r="Z1546" s="55" t="str">
        <f>IF(AND(OR(LEFT(TH!L1546,2)="15",LEFT(TH!M1546,2)="15"),TK!$E$7=TH!F1546),"x","")</f>
        <v/>
      </c>
      <c r="AA1546" s="55" t="str">
        <f>IF(AND(B1546&lt;=NKC!$N$8,B1546&gt;=NKC!$M$8),"x","")</f>
        <v/>
      </c>
    </row>
    <row r="1547" spans="1:27" ht="15.75" customHeight="1">
      <c r="A1547" s="219" t="str">
        <f>IF(B1547&lt;&gt;"",IF(AND(B1547&gt;=_TM1,B1547&lt;=_TM2,OR(TH!L1547="1111",TH!M1547="1111")),TH!D1547,""),"")</f>
        <v/>
      </c>
      <c r="B1547" s="36" t="str">
        <f t="shared" si="59"/>
        <v/>
      </c>
      <c r="C1547" s="37"/>
      <c r="D1547" s="205"/>
      <c r="E1547" s="205"/>
      <c r="F1547" s="206"/>
      <c r="G1547" s="206"/>
      <c r="H1547" s="207"/>
      <c r="I1547" s="277"/>
      <c r="J1547" s="277"/>
      <c r="K1547" s="38"/>
      <c r="L1547" s="208"/>
      <c r="M1547" s="208"/>
      <c r="N1547" s="55" t="str">
        <f>IF(AND('331-CT'!$E$7=TH!H1547,OR(L1547="331",M1547="331")),"x","")</f>
        <v/>
      </c>
      <c r="O1547" s="55" t="str">
        <f>IF(AND($B1547&gt;='111'!$N$11,$B1547&lt;='111'!$O$11,OR($L1547=$O$7,$M1547=$O$7)),"x","")</f>
        <v/>
      </c>
      <c r="P1547" s="55" t="str">
        <f>IF(AND($L1547=$O$7,$B1547&lt;'111'!$N$11),"x","")</f>
        <v/>
      </c>
      <c r="Q1547" s="55" t="str">
        <f>IF(AND($M1547=$O$7,$B1547&lt;'111'!$N$11),"x","")</f>
        <v/>
      </c>
      <c r="R1547" s="55" t="str">
        <f>IF(ISERROR(FIND('112'!$M$9,G1547,1)),"",IF((AND(FIND('112'!$M$9,G1547,1)&gt;=1,$B1547&gt;='112'!$N$8,$B1547&lt;='112'!$O$8,OR($L1547='112'!$I$6,$M1547='112'!$I$6))),"x",""))</f>
        <v/>
      </c>
      <c r="S1547" s="55" t="str">
        <f>IF(ISERROR(FIND('112'!$M$9,G1547,1)),"",IF((AND(LEFT(G1547,2)=LEFT('112'!$M$9,2),B1547&lt;'112'!$N$8,$L1547='112'!$I$6)),"x",""))</f>
        <v/>
      </c>
      <c r="T1547" s="55" t="str">
        <f>IF(ISERROR(FIND('112'!$M$9,G1547,1)),"",IF((AND(RIGHT(G1547,2)=RIGHT('112'!$M$9,2),B1547&lt;'112'!$N$8,$M1547='112'!$I$6)),"x",""))</f>
        <v/>
      </c>
      <c r="U1547" s="55" t="str">
        <f>IF(AND('3411-CT'!$F$9=H1547,OR(LEFT(L1547,3)=$U$7,LEFT(M1547,3)=$U$7)),"x","")</f>
        <v/>
      </c>
      <c r="V1547" s="55" t="str">
        <f>IF(OR(TH!L1547=TH!$V$7,M1547=TH!$V$7),"x","")</f>
        <v/>
      </c>
      <c r="W1547" s="55" t="str">
        <f>IF(AND(OR(L1547="131",M1547="131"),H1547='131-CT'!$E$7),"x","")</f>
        <v/>
      </c>
      <c r="X1547" s="55" t="str">
        <f>IF(AND(B1547&gt;='IN-NX'!$P$3,B1547&lt;='IN-NX'!$Q$3,'IN-NX'!$D$7=D1547,OR(LEFT(TH!L1547,2)="15",LEFT(TH!M1547,2)="15")),"x","")</f>
        <v/>
      </c>
      <c r="Y1547" s="55" t="str">
        <f>IF(AND(OR(LEFT(TH!L1547,2)="15",LEFT(TH!M1547,2)="15"),'152-CT'!$J$8=TH!F1547),"x","")</f>
        <v/>
      </c>
      <c r="Z1547" s="55" t="str">
        <f>IF(AND(OR(LEFT(TH!L1547,2)="15",LEFT(TH!M1547,2)="15"),TK!$E$7=TH!F1547),"x","")</f>
        <v/>
      </c>
      <c r="AA1547" s="55" t="str">
        <f>IF(AND(B1547&lt;=NKC!$N$8,B1547&gt;=NKC!$M$8),"x","")</f>
        <v/>
      </c>
    </row>
    <row r="1548" spans="1:27" ht="15.75" customHeight="1">
      <c r="A1548" s="219" t="str">
        <f>IF(B1548&lt;&gt;"",IF(AND(B1548&gt;=_TM1,B1548&lt;=_TM2,OR(TH!L1548="1111",TH!M1548="1111")),TH!D1548,""),"")</f>
        <v/>
      </c>
      <c r="B1548" s="36" t="str">
        <f t="shared" si="59"/>
        <v/>
      </c>
      <c r="C1548" s="37"/>
      <c r="D1548" s="205"/>
      <c r="E1548" s="205"/>
      <c r="F1548" s="206"/>
      <c r="G1548" s="206"/>
      <c r="H1548" s="207"/>
      <c r="I1548" s="277"/>
      <c r="J1548" s="277"/>
      <c r="K1548" s="38"/>
      <c r="L1548" s="208"/>
      <c r="M1548" s="208"/>
      <c r="N1548" s="55" t="str">
        <f>IF(AND('331-CT'!$E$7=TH!H1548,OR(L1548="331",M1548="331")),"x","")</f>
        <v/>
      </c>
      <c r="O1548" s="55" t="str">
        <f>IF(AND($B1548&gt;='111'!$N$11,$B1548&lt;='111'!$O$11,OR($L1548=$O$7,$M1548=$O$7)),"x","")</f>
        <v/>
      </c>
      <c r="P1548" s="55" t="str">
        <f>IF(AND($L1548=$O$7,$B1548&lt;'111'!$N$11),"x","")</f>
        <v/>
      </c>
      <c r="Q1548" s="55" t="str">
        <f>IF(AND($M1548=$O$7,$B1548&lt;'111'!$N$11),"x","")</f>
        <v/>
      </c>
      <c r="R1548" s="55" t="str">
        <f>IF(ISERROR(FIND('112'!$M$9,G1548,1)),"",IF((AND(FIND('112'!$M$9,G1548,1)&gt;=1,$B1548&gt;='112'!$N$8,$B1548&lt;='112'!$O$8,OR($L1548='112'!$I$6,$M1548='112'!$I$6))),"x",""))</f>
        <v/>
      </c>
      <c r="S1548" s="55" t="str">
        <f>IF(ISERROR(FIND('112'!$M$9,G1548,1)),"",IF((AND(LEFT(G1548,2)=LEFT('112'!$M$9,2),B1548&lt;'112'!$N$8,$L1548='112'!$I$6)),"x",""))</f>
        <v/>
      </c>
      <c r="T1548" s="55" t="str">
        <f>IF(ISERROR(FIND('112'!$M$9,G1548,1)),"",IF((AND(RIGHT(G1548,2)=RIGHT('112'!$M$9,2),B1548&lt;'112'!$N$8,$M1548='112'!$I$6)),"x",""))</f>
        <v/>
      </c>
      <c r="U1548" s="55" t="str">
        <f>IF(AND('3411-CT'!$F$9=H1548,OR(LEFT(L1548,3)=$U$7,LEFT(M1548,3)=$U$7)),"x","")</f>
        <v/>
      </c>
      <c r="V1548" s="55" t="str">
        <f>IF(OR(TH!L1548=TH!$V$7,M1548=TH!$V$7),"x","")</f>
        <v/>
      </c>
      <c r="W1548" s="55" t="str">
        <f>IF(AND(OR(L1548="131",M1548="131"),H1548='131-CT'!$E$7),"x","")</f>
        <v/>
      </c>
      <c r="X1548" s="55" t="str">
        <f>IF(AND(B1548&gt;='IN-NX'!$P$3,B1548&lt;='IN-NX'!$Q$3,'IN-NX'!$D$7=D1548,OR(LEFT(TH!L1548,2)="15",LEFT(TH!M1548,2)="15")),"x","")</f>
        <v/>
      </c>
      <c r="Y1548" s="55" t="str">
        <f>IF(AND(OR(LEFT(TH!L1548,2)="15",LEFT(TH!M1548,2)="15"),'152-CT'!$J$8=TH!F1548),"x","")</f>
        <v/>
      </c>
      <c r="Z1548" s="55" t="str">
        <f>IF(AND(OR(LEFT(TH!L1548,2)="15",LEFT(TH!M1548,2)="15"),TK!$E$7=TH!F1548),"x","")</f>
        <v/>
      </c>
      <c r="AA1548" s="55" t="str">
        <f>IF(AND(B1548&lt;=NKC!$N$8,B1548&gt;=NKC!$M$8),"x","")</f>
        <v/>
      </c>
    </row>
    <row r="1549" spans="1:27" ht="15.75" customHeight="1">
      <c r="A1549" s="219" t="str">
        <f>IF(B1549&lt;&gt;"",IF(AND(B1549&gt;=_TM1,B1549&lt;=_TM2,OR(TH!L1549="1111",TH!M1549="1111")),TH!D1549,""),"")</f>
        <v/>
      </c>
      <c r="B1549" s="36" t="str">
        <f t="shared" si="59"/>
        <v/>
      </c>
      <c r="C1549" s="37"/>
      <c r="D1549" s="205"/>
      <c r="E1549" s="205"/>
      <c r="F1549" s="206"/>
      <c r="G1549" s="206"/>
      <c r="H1549" s="207"/>
      <c r="I1549" s="277"/>
      <c r="J1549" s="277"/>
      <c r="K1549" s="38"/>
      <c r="L1549" s="208"/>
      <c r="M1549" s="208"/>
      <c r="N1549" s="55" t="str">
        <f>IF(AND('331-CT'!$E$7=TH!H1549,OR(L1549="331",M1549="331")),"x","")</f>
        <v/>
      </c>
      <c r="O1549" s="55" t="str">
        <f>IF(AND($B1549&gt;='111'!$N$11,$B1549&lt;='111'!$O$11,OR($L1549=$O$7,$M1549=$O$7)),"x","")</f>
        <v/>
      </c>
      <c r="P1549" s="55" t="str">
        <f>IF(AND($L1549=$O$7,$B1549&lt;'111'!$N$11),"x","")</f>
        <v/>
      </c>
      <c r="Q1549" s="55" t="str">
        <f>IF(AND($M1549=$O$7,$B1549&lt;'111'!$N$11),"x","")</f>
        <v/>
      </c>
      <c r="R1549" s="55" t="str">
        <f>IF(ISERROR(FIND('112'!$M$9,G1549,1)),"",IF((AND(FIND('112'!$M$9,G1549,1)&gt;=1,$B1549&gt;='112'!$N$8,$B1549&lt;='112'!$O$8,OR($L1549='112'!$I$6,$M1549='112'!$I$6))),"x",""))</f>
        <v/>
      </c>
      <c r="S1549" s="55" t="str">
        <f>IF(ISERROR(FIND('112'!$M$9,G1549,1)),"",IF((AND(LEFT(G1549,2)=LEFT('112'!$M$9,2),B1549&lt;'112'!$N$8,$L1549='112'!$I$6)),"x",""))</f>
        <v/>
      </c>
      <c r="T1549" s="55" t="str">
        <f>IF(ISERROR(FIND('112'!$M$9,G1549,1)),"",IF((AND(RIGHT(G1549,2)=RIGHT('112'!$M$9,2),B1549&lt;'112'!$N$8,$M1549='112'!$I$6)),"x",""))</f>
        <v/>
      </c>
      <c r="U1549" s="55" t="str">
        <f>IF(AND('3411-CT'!$F$9=H1549,OR(LEFT(L1549,3)=$U$7,LEFT(M1549,3)=$U$7)),"x","")</f>
        <v/>
      </c>
      <c r="V1549" s="55" t="str">
        <f>IF(OR(TH!L1549=TH!$V$7,M1549=TH!$V$7),"x","")</f>
        <v/>
      </c>
      <c r="W1549" s="55" t="str">
        <f>IF(AND(OR(L1549="131",M1549="131"),H1549='131-CT'!$E$7),"x","")</f>
        <v/>
      </c>
      <c r="X1549" s="55" t="str">
        <f>IF(AND(B1549&gt;='IN-NX'!$P$3,B1549&lt;='IN-NX'!$Q$3,'IN-NX'!$D$7=D1549,OR(LEFT(TH!L1549,2)="15",LEFT(TH!M1549,2)="15")),"x","")</f>
        <v/>
      </c>
      <c r="Y1549" s="55" t="str">
        <f>IF(AND(OR(LEFT(TH!L1549,2)="15",LEFT(TH!M1549,2)="15"),'152-CT'!$J$8=TH!F1549),"x","")</f>
        <v/>
      </c>
      <c r="Z1549" s="55" t="str">
        <f>IF(AND(OR(LEFT(TH!L1549,2)="15",LEFT(TH!M1549,2)="15"),TK!$E$7=TH!F1549),"x","")</f>
        <v/>
      </c>
      <c r="AA1549" s="55" t="str">
        <f>IF(AND(B1549&lt;=NKC!$N$8,B1549&gt;=NKC!$M$8),"x","")</f>
        <v/>
      </c>
    </row>
    <row r="1550" spans="1:27" ht="15.75" customHeight="1">
      <c r="A1550" s="219" t="str">
        <f>IF(B1550&lt;&gt;"",IF(AND(B1550&gt;=_TM1,B1550&lt;=_TM2,OR(TH!L1550="1111",TH!M1550="1111")),TH!D1550,""),"")</f>
        <v/>
      </c>
      <c r="B1550" s="36" t="str">
        <f t="shared" si="59"/>
        <v/>
      </c>
      <c r="C1550" s="37"/>
      <c r="D1550" s="205"/>
      <c r="E1550" s="205"/>
      <c r="F1550" s="206"/>
      <c r="G1550" s="206"/>
      <c r="H1550" s="207"/>
      <c r="I1550" s="277"/>
      <c r="J1550" s="277"/>
      <c r="K1550" s="38"/>
      <c r="L1550" s="208"/>
      <c r="M1550" s="208"/>
      <c r="N1550" s="55" t="str">
        <f>IF(AND('331-CT'!$E$7=TH!H1550,OR(L1550="331",M1550="331")),"x","")</f>
        <v/>
      </c>
      <c r="O1550" s="55" t="str">
        <f>IF(AND($B1550&gt;='111'!$N$11,$B1550&lt;='111'!$O$11,OR($L1550=$O$7,$M1550=$O$7)),"x","")</f>
        <v/>
      </c>
      <c r="P1550" s="55" t="str">
        <f>IF(AND($L1550=$O$7,$B1550&lt;'111'!$N$11),"x","")</f>
        <v/>
      </c>
      <c r="Q1550" s="55" t="str">
        <f>IF(AND($M1550=$O$7,$B1550&lt;'111'!$N$11),"x","")</f>
        <v/>
      </c>
      <c r="R1550" s="55" t="str">
        <f>IF(ISERROR(FIND('112'!$M$9,G1550,1)),"",IF((AND(FIND('112'!$M$9,G1550,1)&gt;=1,$B1550&gt;='112'!$N$8,$B1550&lt;='112'!$O$8,OR($L1550='112'!$I$6,$M1550='112'!$I$6))),"x",""))</f>
        <v/>
      </c>
      <c r="S1550" s="55" t="str">
        <f>IF(ISERROR(FIND('112'!$M$9,G1550,1)),"",IF((AND(LEFT(G1550,2)=LEFT('112'!$M$9,2),B1550&lt;'112'!$N$8,$L1550='112'!$I$6)),"x",""))</f>
        <v/>
      </c>
      <c r="T1550" s="55" t="str">
        <f>IF(ISERROR(FIND('112'!$M$9,G1550,1)),"",IF((AND(RIGHT(G1550,2)=RIGHT('112'!$M$9,2),B1550&lt;'112'!$N$8,$M1550='112'!$I$6)),"x",""))</f>
        <v/>
      </c>
      <c r="U1550" s="55" t="str">
        <f>IF(AND('3411-CT'!$F$9=H1550,OR(LEFT(L1550,3)=$U$7,LEFT(M1550,3)=$U$7)),"x","")</f>
        <v/>
      </c>
      <c r="V1550" s="55" t="str">
        <f>IF(OR(TH!L1550=TH!$V$7,M1550=TH!$V$7),"x","")</f>
        <v/>
      </c>
      <c r="W1550" s="55" t="str">
        <f>IF(AND(OR(L1550="131",M1550="131"),H1550='131-CT'!$E$7),"x","")</f>
        <v/>
      </c>
      <c r="X1550" s="55" t="str">
        <f>IF(AND(B1550&gt;='IN-NX'!$P$3,B1550&lt;='IN-NX'!$Q$3,'IN-NX'!$D$7=D1550,OR(LEFT(TH!L1550,2)="15",LEFT(TH!M1550,2)="15")),"x","")</f>
        <v/>
      </c>
      <c r="Y1550" s="55" t="str">
        <f>IF(AND(OR(LEFT(TH!L1550,2)="15",LEFT(TH!M1550,2)="15"),'152-CT'!$J$8=TH!F1550),"x","")</f>
        <v/>
      </c>
      <c r="Z1550" s="55" t="str">
        <f>IF(AND(OR(LEFT(TH!L1550,2)="15",LEFT(TH!M1550,2)="15"),TK!$E$7=TH!F1550),"x","")</f>
        <v/>
      </c>
      <c r="AA1550" s="55" t="str">
        <f>IF(AND(B1550&lt;=NKC!$N$8,B1550&gt;=NKC!$M$8),"x","")</f>
        <v/>
      </c>
    </row>
    <row r="1551" spans="1:27" ht="15.75" customHeight="1">
      <c r="A1551" s="219" t="str">
        <f>IF(B1551&lt;&gt;"",IF(AND(B1551&gt;=_TM1,B1551&lt;=_TM2,OR(TH!L1551="1111",TH!M1551="1111")),TH!D1551,""),"")</f>
        <v/>
      </c>
      <c r="B1551" s="36" t="str">
        <f t="shared" si="59"/>
        <v/>
      </c>
      <c r="C1551" s="37"/>
      <c r="D1551" s="205"/>
      <c r="E1551" s="205"/>
      <c r="F1551" s="206"/>
      <c r="G1551" s="206"/>
      <c r="H1551" s="207"/>
      <c r="I1551" s="277"/>
      <c r="J1551" s="277"/>
      <c r="K1551" s="38"/>
      <c r="L1551" s="208"/>
      <c r="M1551" s="208"/>
      <c r="N1551" s="55" t="str">
        <f>IF(AND('331-CT'!$E$7=TH!H1551,OR(L1551="331",M1551="331")),"x","")</f>
        <v/>
      </c>
      <c r="O1551" s="55" t="str">
        <f>IF(AND($B1551&gt;='111'!$N$11,$B1551&lt;='111'!$O$11,OR($L1551=$O$7,$M1551=$O$7)),"x","")</f>
        <v/>
      </c>
      <c r="P1551" s="55" t="str">
        <f>IF(AND($L1551=$O$7,$B1551&lt;'111'!$N$11),"x","")</f>
        <v/>
      </c>
      <c r="Q1551" s="55" t="str">
        <f>IF(AND($M1551=$O$7,$B1551&lt;'111'!$N$11),"x","")</f>
        <v/>
      </c>
      <c r="R1551" s="55" t="str">
        <f>IF(ISERROR(FIND('112'!$M$9,G1551,1)),"",IF((AND(FIND('112'!$M$9,G1551,1)&gt;=1,$B1551&gt;='112'!$N$8,$B1551&lt;='112'!$O$8,OR($L1551='112'!$I$6,$M1551='112'!$I$6))),"x",""))</f>
        <v/>
      </c>
      <c r="S1551" s="55" t="str">
        <f>IF(ISERROR(FIND('112'!$M$9,G1551,1)),"",IF((AND(LEFT(G1551,2)=LEFT('112'!$M$9,2),B1551&lt;'112'!$N$8,$L1551='112'!$I$6)),"x",""))</f>
        <v/>
      </c>
      <c r="T1551" s="55" t="str">
        <f>IF(ISERROR(FIND('112'!$M$9,G1551,1)),"",IF((AND(RIGHT(G1551,2)=RIGHT('112'!$M$9,2),B1551&lt;'112'!$N$8,$M1551='112'!$I$6)),"x",""))</f>
        <v/>
      </c>
      <c r="U1551" s="55" t="str">
        <f>IF(AND('3411-CT'!$F$9=H1551,OR(LEFT(L1551,3)=$U$7,LEFT(M1551,3)=$U$7)),"x","")</f>
        <v/>
      </c>
      <c r="V1551" s="55" t="str">
        <f>IF(OR(TH!L1551=TH!$V$7,M1551=TH!$V$7),"x","")</f>
        <v/>
      </c>
      <c r="W1551" s="55" t="str">
        <f>IF(AND(OR(L1551="131",M1551="131"),H1551='131-CT'!$E$7),"x","")</f>
        <v/>
      </c>
      <c r="X1551" s="55" t="str">
        <f>IF(AND(B1551&gt;='IN-NX'!$P$3,B1551&lt;='IN-NX'!$Q$3,'IN-NX'!$D$7=D1551,OR(LEFT(TH!L1551,2)="15",LEFT(TH!M1551,2)="15")),"x","")</f>
        <v/>
      </c>
      <c r="Y1551" s="55" t="str">
        <f>IF(AND(OR(LEFT(TH!L1551,2)="15",LEFT(TH!M1551,2)="15"),'152-CT'!$J$8=TH!F1551),"x","")</f>
        <v/>
      </c>
      <c r="Z1551" s="55" t="str">
        <f>IF(AND(OR(LEFT(TH!L1551,2)="15",LEFT(TH!M1551,2)="15"),TK!$E$7=TH!F1551),"x","")</f>
        <v/>
      </c>
      <c r="AA1551" s="55" t="str">
        <f>IF(AND(B1551&lt;=NKC!$N$8,B1551&gt;=NKC!$M$8),"x","")</f>
        <v/>
      </c>
    </row>
    <row r="1552" spans="1:27" ht="15.75" customHeight="1">
      <c r="A1552" s="219" t="str">
        <f>IF(B1552&lt;&gt;"",IF(AND(B1552&gt;=_TM1,B1552&lt;=_TM2,OR(TH!L1552="1111",TH!M1552="1111")),TH!D1552,""),"")</f>
        <v/>
      </c>
      <c r="B1552" s="36" t="str">
        <f t="shared" si="59"/>
        <v/>
      </c>
      <c r="C1552" s="37"/>
      <c r="D1552" s="205"/>
      <c r="E1552" s="205"/>
      <c r="F1552" s="206"/>
      <c r="G1552" s="206"/>
      <c r="H1552" s="207"/>
      <c r="I1552" s="277"/>
      <c r="J1552" s="277"/>
      <c r="K1552" s="38"/>
      <c r="L1552" s="208"/>
      <c r="M1552" s="208"/>
      <c r="N1552" s="55" t="str">
        <f>IF(AND('331-CT'!$E$7=TH!H1552,OR(L1552="331",M1552="331")),"x","")</f>
        <v/>
      </c>
      <c r="O1552" s="55" t="str">
        <f>IF(AND($B1552&gt;='111'!$N$11,$B1552&lt;='111'!$O$11,OR($L1552=$O$7,$M1552=$O$7)),"x","")</f>
        <v/>
      </c>
      <c r="P1552" s="55" t="str">
        <f>IF(AND($L1552=$O$7,$B1552&lt;'111'!$N$11),"x","")</f>
        <v/>
      </c>
      <c r="Q1552" s="55" t="str">
        <f>IF(AND($M1552=$O$7,$B1552&lt;'111'!$N$11),"x","")</f>
        <v/>
      </c>
      <c r="R1552" s="55" t="str">
        <f>IF(ISERROR(FIND('112'!$M$9,G1552,1)),"",IF((AND(FIND('112'!$M$9,G1552,1)&gt;=1,$B1552&gt;='112'!$N$8,$B1552&lt;='112'!$O$8,OR($L1552='112'!$I$6,$M1552='112'!$I$6))),"x",""))</f>
        <v/>
      </c>
      <c r="S1552" s="55" t="str">
        <f>IF(ISERROR(FIND('112'!$M$9,G1552,1)),"",IF((AND(LEFT(G1552,2)=LEFT('112'!$M$9,2),B1552&lt;'112'!$N$8,$L1552='112'!$I$6)),"x",""))</f>
        <v/>
      </c>
      <c r="T1552" s="55" t="str">
        <f>IF(ISERROR(FIND('112'!$M$9,G1552,1)),"",IF((AND(RIGHT(G1552,2)=RIGHT('112'!$M$9,2),B1552&lt;'112'!$N$8,$M1552='112'!$I$6)),"x",""))</f>
        <v/>
      </c>
      <c r="U1552" s="55" t="str">
        <f>IF(AND('3411-CT'!$F$9=H1552,OR(LEFT(L1552,3)=$U$7,LEFT(M1552,3)=$U$7)),"x","")</f>
        <v/>
      </c>
      <c r="V1552" s="55" t="str">
        <f>IF(OR(TH!L1552=TH!$V$7,M1552=TH!$V$7),"x","")</f>
        <v/>
      </c>
      <c r="W1552" s="55" t="str">
        <f>IF(AND(OR(L1552="131",M1552="131"),H1552='131-CT'!$E$7),"x","")</f>
        <v/>
      </c>
      <c r="X1552" s="55" t="str">
        <f>IF(AND(B1552&gt;='IN-NX'!$P$3,B1552&lt;='IN-NX'!$Q$3,'IN-NX'!$D$7=D1552,OR(LEFT(TH!L1552,2)="15",LEFT(TH!M1552,2)="15")),"x","")</f>
        <v/>
      </c>
      <c r="Y1552" s="55" t="str">
        <f>IF(AND(OR(LEFT(TH!L1552,2)="15",LEFT(TH!M1552,2)="15"),'152-CT'!$J$8=TH!F1552),"x","")</f>
        <v/>
      </c>
      <c r="Z1552" s="55" t="str">
        <f>IF(AND(OR(LEFT(TH!L1552,2)="15",LEFT(TH!M1552,2)="15"),TK!$E$7=TH!F1552),"x","")</f>
        <v/>
      </c>
      <c r="AA1552" s="55" t="str">
        <f>IF(AND(B1552&lt;=NKC!$N$8,B1552&gt;=NKC!$M$8),"x","")</f>
        <v/>
      </c>
    </row>
    <row r="1553" spans="1:27" ht="15.75" customHeight="1">
      <c r="A1553" s="219" t="str">
        <f>IF(B1553&lt;&gt;"",IF(AND(B1553&gt;=_TM1,B1553&lt;=_TM2,OR(TH!L1553="1111",TH!M1553="1111")),TH!D1553,""),"")</f>
        <v/>
      </c>
      <c r="B1553" s="36" t="str">
        <f t="shared" si="59"/>
        <v/>
      </c>
      <c r="C1553" s="37"/>
      <c r="D1553" s="37"/>
      <c r="E1553" s="37"/>
      <c r="F1553" s="40"/>
      <c r="G1553" s="580"/>
      <c r="H1553" s="45"/>
      <c r="I1553" s="277"/>
      <c r="J1553" s="277"/>
      <c r="K1553" s="38"/>
      <c r="L1553" s="208"/>
      <c r="M1553" s="39"/>
      <c r="N1553" s="55" t="str">
        <f>IF(AND('331-CT'!$E$7=TH!H1553,OR(L1553="331",M1553="331")),"x","")</f>
        <v/>
      </c>
      <c r="O1553" s="55" t="str">
        <f>IF(AND($B1553&gt;='111'!$N$11,$B1553&lt;='111'!$O$11,OR($L1553=$O$7,$M1553=$O$7)),"x","")</f>
        <v/>
      </c>
      <c r="P1553" s="55" t="str">
        <f>IF(AND($L1553=$O$7,$B1553&lt;'111'!$N$11),"x","")</f>
        <v/>
      </c>
      <c r="Q1553" s="55" t="str">
        <f>IF(AND($M1553=$O$7,$B1553&lt;'111'!$N$11),"x","")</f>
        <v/>
      </c>
      <c r="R1553" s="55" t="str">
        <f>IF(ISERROR(FIND('112'!$M$9,G1553,1)),"",IF((AND(FIND('112'!$M$9,G1553,1)&gt;=1,$B1553&gt;='112'!$N$8,$B1553&lt;='112'!$O$8,OR($L1553='112'!$I$6,$M1553='112'!$I$6))),"x",""))</f>
        <v/>
      </c>
      <c r="S1553" s="55" t="str">
        <f>IF(ISERROR(FIND('112'!$M$9,G1553,1)),"",IF((AND(LEFT(G1553,2)=LEFT('112'!$M$9,2),B1553&lt;'112'!$N$8,$L1553='112'!$I$6)),"x",""))</f>
        <v/>
      </c>
      <c r="T1553" s="55" t="str">
        <f>IF(ISERROR(FIND('112'!$M$9,G1553,1)),"",IF((AND(RIGHT(G1553,2)=RIGHT('112'!$M$9,2),B1553&lt;'112'!$N$8,$M1553='112'!$I$6)),"x",""))</f>
        <v/>
      </c>
      <c r="U1553" s="55" t="str">
        <f>IF(AND('3411-CT'!$F$9=H1553,OR(LEFT(L1553,3)=$U$7,LEFT(M1553,3)=$U$7)),"x","")</f>
        <v/>
      </c>
      <c r="V1553" s="55" t="str">
        <f>IF(OR(TH!L1553=TH!$V$7,M1553=TH!$V$7),"x","")</f>
        <v/>
      </c>
      <c r="W1553" s="55" t="str">
        <f>IF(AND(OR(L1553="131",M1553="131"),H1553='131-CT'!$E$7),"x","")</f>
        <v/>
      </c>
      <c r="X1553" s="55" t="str">
        <f>IF(AND(B1553&gt;='IN-NX'!$P$3,B1553&lt;='IN-NX'!$Q$3,'IN-NX'!$D$7=D1553,OR(LEFT(TH!L1553,2)="15",LEFT(TH!M1553,2)="15")),"x","")</f>
        <v/>
      </c>
      <c r="Y1553" s="55" t="str">
        <f>IF(AND(OR(LEFT(TH!L1553,2)="15",LEFT(TH!M1553,2)="15"),'152-CT'!$J$8=TH!F1553),"x","")</f>
        <v/>
      </c>
      <c r="Z1553" s="55" t="str">
        <f>IF(AND(OR(LEFT(TH!L1553,2)="15",LEFT(TH!M1553,2)="15"),TK!$E$7=TH!F1553),"x","")</f>
        <v/>
      </c>
      <c r="AA1553" s="55" t="str">
        <f>IF(AND(B1553&lt;=NKC!$N$8,B1553&gt;=NKC!$M$8),"x","")</f>
        <v/>
      </c>
    </row>
    <row r="1554" spans="1:27" ht="15.75" customHeight="1">
      <c r="A1554" s="219" t="str">
        <f>IF(B1554&lt;&gt;"",IF(AND(B1554&gt;=_TM1,B1554&lt;=_TM2,OR(TH!L1554="1111",TH!M1554="1111")),TH!D1554,""),"")</f>
        <v/>
      </c>
      <c r="B1554" s="36" t="str">
        <f t="shared" si="59"/>
        <v/>
      </c>
      <c r="C1554" s="37"/>
      <c r="D1554" s="37"/>
      <c r="E1554" s="37"/>
      <c r="F1554" s="40"/>
      <c r="G1554" s="580"/>
      <c r="H1554" s="45"/>
      <c r="I1554" s="277"/>
      <c r="J1554" s="277"/>
      <c r="K1554" s="38"/>
      <c r="L1554" s="208"/>
      <c r="M1554" s="39"/>
      <c r="N1554" s="55" t="str">
        <f>IF(AND('331-CT'!$E$7=TH!H1554,OR(L1554="331",M1554="331")),"x","")</f>
        <v/>
      </c>
      <c r="O1554" s="55" t="str">
        <f>IF(AND($B1554&gt;='111'!$N$11,$B1554&lt;='111'!$O$11,OR($L1554=$O$7,$M1554=$O$7)),"x","")</f>
        <v/>
      </c>
      <c r="P1554" s="55" t="str">
        <f>IF(AND($L1554=$O$7,$B1554&lt;'111'!$N$11),"x","")</f>
        <v/>
      </c>
      <c r="Q1554" s="55" t="str">
        <f>IF(AND($M1554=$O$7,$B1554&lt;'111'!$N$11),"x","")</f>
        <v/>
      </c>
      <c r="R1554" s="55" t="str">
        <f>IF(ISERROR(FIND('112'!$M$9,G1554,1)),"",IF((AND(FIND('112'!$M$9,G1554,1)&gt;=1,$B1554&gt;='112'!$N$8,$B1554&lt;='112'!$O$8,OR($L1554='112'!$I$6,$M1554='112'!$I$6))),"x",""))</f>
        <v/>
      </c>
      <c r="S1554" s="55" t="str">
        <f>IF(ISERROR(FIND('112'!$M$9,G1554,1)),"",IF((AND(LEFT(G1554,2)=LEFT('112'!$M$9,2),B1554&lt;'112'!$N$8,$L1554='112'!$I$6)),"x",""))</f>
        <v/>
      </c>
      <c r="T1554" s="55" t="str">
        <f>IF(ISERROR(FIND('112'!$M$9,G1554,1)),"",IF((AND(RIGHT(G1554,2)=RIGHT('112'!$M$9,2),B1554&lt;'112'!$N$8,$M1554='112'!$I$6)),"x",""))</f>
        <v/>
      </c>
      <c r="U1554" s="55" t="str">
        <f>IF(AND('3411-CT'!$F$9=H1554,OR(LEFT(L1554,3)=$U$7,LEFT(M1554,3)=$U$7)),"x","")</f>
        <v/>
      </c>
      <c r="V1554" s="55" t="str">
        <f>IF(OR(TH!L1554=TH!$V$7,M1554=TH!$V$7),"x","")</f>
        <v/>
      </c>
      <c r="W1554" s="55" t="str">
        <f>IF(AND(OR(L1554="131",M1554="131"),H1554='131-CT'!$E$7),"x","")</f>
        <v/>
      </c>
      <c r="X1554" s="55" t="str">
        <f>IF(AND(B1554&gt;='IN-NX'!$P$3,B1554&lt;='IN-NX'!$Q$3,'IN-NX'!$D$7=D1554,OR(LEFT(TH!L1554,2)="15",LEFT(TH!M1554,2)="15")),"x","")</f>
        <v/>
      </c>
      <c r="Y1554" s="55" t="str">
        <f>IF(AND(OR(LEFT(TH!L1554,2)="15",LEFT(TH!M1554,2)="15"),'152-CT'!$J$8=TH!F1554),"x","")</f>
        <v/>
      </c>
      <c r="Z1554" s="55" t="str">
        <f>IF(AND(OR(LEFT(TH!L1554,2)="15",LEFT(TH!M1554,2)="15"),TK!$E$7=TH!F1554),"x","")</f>
        <v/>
      </c>
      <c r="AA1554" s="55" t="str">
        <f>IF(AND(B1554&lt;=NKC!$N$8,B1554&gt;=NKC!$M$8),"x","")</f>
        <v/>
      </c>
    </row>
    <row r="1555" spans="1:27" ht="15.75" customHeight="1">
      <c r="A1555" s="219" t="str">
        <f>IF(B1555&lt;&gt;"",IF(AND(B1555&gt;=_TM1,B1555&lt;=_TM2,OR(TH!L1555="1111",TH!M1555="1111")),TH!D1555,""),"")</f>
        <v/>
      </c>
      <c r="B1555" s="36" t="str">
        <f t="shared" si="59"/>
        <v/>
      </c>
      <c r="C1555" s="37"/>
      <c r="D1555" s="205"/>
      <c r="E1555" s="205"/>
      <c r="F1555" s="40"/>
      <c r="G1555" s="40"/>
      <c r="H1555" s="45"/>
      <c r="I1555" s="277"/>
      <c r="J1555" s="277"/>
      <c r="K1555" s="38"/>
      <c r="L1555" s="39"/>
      <c r="M1555" s="39"/>
      <c r="N1555" s="55" t="str">
        <f>IF(AND('331-CT'!$E$7=TH!H1555,OR(L1555="331",M1555="331")),"x","")</f>
        <v/>
      </c>
      <c r="O1555" s="55" t="str">
        <f>IF(AND($B1555&gt;='111'!$N$11,$B1555&lt;='111'!$O$11,OR($L1555=$O$7,$M1555=$O$7)),"x","")</f>
        <v/>
      </c>
      <c r="P1555" s="55" t="str">
        <f>IF(AND($L1555=$O$7,$B1555&lt;'111'!$N$11),"x","")</f>
        <v/>
      </c>
      <c r="Q1555" s="55" t="str">
        <f>IF(AND($M1555=$O$7,$B1555&lt;'111'!$N$11),"x","")</f>
        <v/>
      </c>
      <c r="R1555" s="55" t="str">
        <f>IF(ISERROR(FIND('112'!$M$9,G1555,1)),"",IF((AND(FIND('112'!$M$9,G1555,1)&gt;=1,$B1555&gt;='112'!$N$8,$B1555&lt;='112'!$O$8,OR($L1555='112'!$I$6,$M1555='112'!$I$6))),"x",""))</f>
        <v/>
      </c>
      <c r="S1555" s="55" t="str">
        <f>IF(ISERROR(FIND('112'!$M$9,G1555,1)),"",IF((AND(LEFT(G1555,2)=LEFT('112'!$M$9,2),B1555&lt;'112'!$N$8,$L1555='112'!$I$6)),"x",""))</f>
        <v/>
      </c>
      <c r="T1555" s="55" t="str">
        <f>IF(ISERROR(FIND('112'!$M$9,G1555,1)),"",IF((AND(RIGHT(G1555,2)=RIGHT('112'!$M$9,2),B1555&lt;'112'!$N$8,$M1555='112'!$I$6)),"x",""))</f>
        <v/>
      </c>
      <c r="U1555" s="55" t="str">
        <f>IF(AND('3411-CT'!$F$9=H1555,OR(LEFT(L1555,3)=$U$7,LEFT(M1555,3)=$U$7)),"x","")</f>
        <v/>
      </c>
      <c r="V1555" s="55" t="str">
        <f>IF(OR(TH!L1555=TH!$V$7,M1555=TH!$V$7),"x","")</f>
        <v/>
      </c>
      <c r="W1555" s="55" t="str">
        <f>IF(AND(OR(L1555="131",M1555="131"),H1555='131-CT'!$E$7),"x","")</f>
        <v/>
      </c>
      <c r="X1555" s="55" t="str">
        <f>IF(AND(B1555&gt;='IN-NX'!$P$3,B1555&lt;='IN-NX'!$Q$3,'IN-NX'!$D$7=D1555,OR(LEFT(TH!L1555,2)="15",LEFT(TH!M1555,2)="15")),"x","")</f>
        <v/>
      </c>
      <c r="Y1555" s="55" t="str">
        <f>IF(AND(OR(LEFT(TH!L1555,2)="15",LEFT(TH!M1555,2)="15"),'152-CT'!$J$8=TH!F1555),"x","")</f>
        <v/>
      </c>
      <c r="Z1555" s="55" t="str">
        <f>IF(AND(OR(LEFT(TH!L1555,2)="15",LEFT(TH!M1555,2)="15"),TK!$E$7=TH!F1555),"x","")</f>
        <v/>
      </c>
      <c r="AA1555" s="55" t="str">
        <f>IF(AND(B1555&lt;=NKC!$N$8,B1555&gt;=NKC!$M$8),"x","")</f>
        <v/>
      </c>
    </row>
    <row r="1556" spans="1:27" ht="15.75" customHeight="1">
      <c r="A1556" s="219" t="str">
        <f>IF(B1556&lt;&gt;"",IF(AND(B1556&gt;=_TM1,B1556&lt;=_TM2,OR(TH!L1556="1111",TH!M1556="1111")),TH!D1556,""),"")</f>
        <v/>
      </c>
      <c r="B1556" s="36" t="str">
        <f t="shared" si="59"/>
        <v/>
      </c>
      <c r="C1556" s="37"/>
      <c r="D1556" s="37"/>
      <c r="E1556" s="37"/>
      <c r="F1556" s="40"/>
      <c r="G1556" s="580"/>
      <c r="H1556" s="45"/>
      <c r="I1556" s="277"/>
      <c r="J1556" s="277"/>
      <c r="K1556" s="38"/>
      <c r="L1556" s="39"/>
      <c r="M1556" s="39"/>
      <c r="N1556" s="55" t="str">
        <f>IF(AND('331-CT'!$E$7=TH!H1556,OR(L1556="331",M1556="331")),"x","")</f>
        <v/>
      </c>
      <c r="O1556" s="55" t="str">
        <f>IF(AND($B1556&gt;='111'!$N$11,$B1556&lt;='111'!$O$11,OR($L1556=$O$7,$M1556=$O$7)),"x","")</f>
        <v/>
      </c>
      <c r="P1556" s="55" t="str">
        <f>IF(AND($L1556=$O$7,$B1556&lt;'111'!$N$11),"x","")</f>
        <v/>
      </c>
      <c r="Q1556" s="55" t="str">
        <f>IF(AND($M1556=$O$7,$B1556&lt;'111'!$N$11),"x","")</f>
        <v/>
      </c>
      <c r="R1556" s="55" t="str">
        <f>IF(ISERROR(FIND('112'!$M$9,G1556,1)),"",IF((AND(FIND('112'!$M$9,G1556,1)&gt;=1,$B1556&gt;='112'!$N$8,$B1556&lt;='112'!$O$8,OR($L1556='112'!$I$6,$M1556='112'!$I$6))),"x",""))</f>
        <v/>
      </c>
      <c r="S1556" s="55" t="str">
        <f>IF(ISERROR(FIND('112'!$M$9,G1556,1)),"",IF((AND(LEFT(G1556,2)=LEFT('112'!$M$9,2),B1556&lt;'112'!$N$8,$L1556='112'!$I$6)),"x",""))</f>
        <v/>
      </c>
      <c r="T1556" s="55" t="str">
        <f>IF(ISERROR(FIND('112'!$M$9,G1556,1)),"",IF((AND(RIGHT(G1556,2)=RIGHT('112'!$M$9,2),B1556&lt;'112'!$N$8,$M1556='112'!$I$6)),"x",""))</f>
        <v/>
      </c>
      <c r="U1556" s="55" t="str">
        <f>IF(AND('3411-CT'!$F$9=H1556,OR(LEFT(L1556,3)=$U$7,LEFT(M1556,3)=$U$7)),"x","")</f>
        <v/>
      </c>
      <c r="V1556" s="55" t="str">
        <f>IF(OR(TH!L1556=TH!$V$7,M1556=TH!$V$7),"x","")</f>
        <v/>
      </c>
      <c r="W1556" s="55" t="str">
        <f>IF(AND(OR(L1556="131",M1556="131"),H1556='131-CT'!$E$7),"x","")</f>
        <v/>
      </c>
      <c r="X1556" s="55" t="str">
        <f>IF(AND(B1556&gt;='IN-NX'!$P$3,B1556&lt;='IN-NX'!$Q$3,'IN-NX'!$D$7=D1556,OR(LEFT(TH!L1556,2)="15",LEFT(TH!M1556,2)="15")),"x","")</f>
        <v/>
      </c>
      <c r="Y1556" s="55" t="str">
        <f>IF(AND(OR(LEFT(TH!L1556,2)="15",LEFT(TH!M1556,2)="15"),'152-CT'!$J$8=TH!F1556),"x","")</f>
        <v/>
      </c>
      <c r="Z1556" s="55" t="str">
        <f>IF(AND(OR(LEFT(TH!L1556,2)="15",LEFT(TH!M1556,2)="15"),TK!$E$7=TH!F1556),"x","")</f>
        <v/>
      </c>
      <c r="AA1556" s="55" t="str">
        <f>IF(AND(B1556&lt;=NKC!$N$8,B1556&gt;=NKC!$M$8),"x","")</f>
        <v/>
      </c>
    </row>
    <row r="1557" spans="1:27" ht="15.75" customHeight="1">
      <c r="A1557" s="219" t="str">
        <f>IF(B1557&lt;&gt;"",IF(AND(B1557&gt;=_TM1,B1557&lt;=_TM2,OR(TH!L1557="1111",TH!M1557="1111")),TH!D1557,""),"")</f>
        <v/>
      </c>
      <c r="B1557" s="36" t="str">
        <f t="shared" si="59"/>
        <v/>
      </c>
      <c r="C1557" s="37"/>
      <c r="D1557" s="37"/>
      <c r="E1557" s="37"/>
      <c r="F1557" s="40"/>
      <c r="G1557" s="580"/>
      <c r="H1557" s="45"/>
      <c r="I1557" s="277"/>
      <c r="J1557" s="277"/>
      <c r="K1557" s="38"/>
      <c r="L1557" s="39"/>
      <c r="M1557" s="39"/>
      <c r="N1557" s="55" t="str">
        <f>IF(AND('331-CT'!$E$7=TH!H1557,OR(L1557="331",M1557="331")),"x","")</f>
        <v/>
      </c>
      <c r="O1557" s="55" t="str">
        <f>IF(AND($B1557&gt;='111'!$N$11,$B1557&lt;='111'!$O$11,OR($L1557=$O$7,$M1557=$O$7)),"x","")</f>
        <v/>
      </c>
      <c r="P1557" s="55" t="str">
        <f>IF(AND($L1557=$O$7,$B1557&lt;'111'!$N$11),"x","")</f>
        <v/>
      </c>
      <c r="Q1557" s="55" t="str">
        <f>IF(AND($M1557=$O$7,$B1557&lt;'111'!$N$11),"x","")</f>
        <v/>
      </c>
      <c r="R1557" s="55" t="str">
        <f>IF(ISERROR(FIND('112'!$M$9,G1557,1)),"",IF((AND(FIND('112'!$M$9,G1557,1)&gt;=1,$B1557&gt;='112'!$N$8,$B1557&lt;='112'!$O$8,OR($L1557='112'!$I$6,$M1557='112'!$I$6))),"x",""))</f>
        <v/>
      </c>
      <c r="S1557" s="55" t="str">
        <f>IF(ISERROR(FIND('112'!$M$9,G1557,1)),"",IF((AND(LEFT(G1557,2)=LEFT('112'!$M$9,2),B1557&lt;'112'!$N$8,$L1557='112'!$I$6)),"x",""))</f>
        <v/>
      </c>
      <c r="T1557" s="55" t="str">
        <f>IF(ISERROR(FIND('112'!$M$9,G1557,1)),"",IF((AND(RIGHT(G1557,2)=RIGHT('112'!$M$9,2),B1557&lt;'112'!$N$8,$M1557='112'!$I$6)),"x",""))</f>
        <v/>
      </c>
      <c r="U1557" s="55" t="str">
        <f>IF(AND('3411-CT'!$F$9=H1557,OR(LEFT(L1557,3)=$U$7,LEFT(M1557,3)=$U$7)),"x","")</f>
        <v/>
      </c>
      <c r="V1557" s="55" t="str">
        <f>IF(OR(TH!L1557=TH!$V$7,M1557=TH!$V$7),"x","")</f>
        <v/>
      </c>
      <c r="W1557" s="55" t="str">
        <f>IF(AND(OR(L1557="131",M1557="131"),H1557='131-CT'!$E$7),"x","")</f>
        <v/>
      </c>
      <c r="X1557" s="55" t="str">
        <f>IF(AND(B1557&gt;='IN-NX'!$P$3,B1557&lt;='IN-NX'!$Q$3,'IN-NX'!$D$7=D1557,OR(LEFT(TH!L1557,2)="15",LEFT(TH!M1557,2)="15")),"x","")</f>
        <v/>
      </c>
      <c r="Y1557" s="55" t="str">
        <f>IF(AND(OR(LEFT(TH!L1557,2)="15",LEFT(TH!M1557,2)="15"),'152-CT'!$J$8=TH!F1557),"x","")</f>
        <v/>
      </c>
      <c r="Z1557" s="55" t="str">
        <f>IF(AND(OR(LEFT(TH!L1557,2)="15",LEFT(TH!M1557,2)="15"),TK!$E$7=TH!F1557),"x","")</f>
        <v/>
      </c>
      <c r="AA1557" s="55" t="str">
        <f>IF(AND(B1557&lt;=NKC!$N$8,B1557&gt;=NKC!$M$8),"x","")</f>
        <v/>
      </c>
    </row>
    <row r="1558" spans="1:27" ht="15.75" customHeight="1">
      <c r="A1558" s="219" t="str">
        <f>IF(B1558&lt;&gt;"",IF(AND(B1558&gt;=_TM1,B1558&lt;=_TM2,OR(TH!L1558="1111",TH!M1558="1111")),TH!D1558,""),"")</f>
        <v/>
      </c>
      <c r="B1558" s="36" t="str">
        <f t="shared" si="59"/>
        <v/>
      </c>
      <c r="C1558" s="37"/>
      <c r="D1558" s="37"/>
      <c r="E1558" s="37"/>
      <c r="F1558" s="40"/>
      <c r="G1558" s="40"/>
      <c r="H1558" s="45"/>
      <c r="I1558" s="277"/>
      <c r="J1558" s="277"/>
      <c r="K1558" s="38"/>
      <c r="L1558" s="39"/>
      <c r="M1558" s="39"/>
      <c r="N1558" s="55" t="str">
        <f>IF(AND('331-CT'!$E$7=TH!H1558,OR(L1558="331",M1558="331")),"x","")</f>
        <v/>
      </c>
      <c r="O1558" s="55" t="str">
        <f>IF(AND($B1558&gt;='111'!$N$11,$B1558&lt;='111'!$O$11,OR($L1558=$O$7,$M1558=$O$7)),"x","")</f>
        <v/>
      </c>
      <c r="P1558" s="55" t="str">
        <f>IF(AND($L1558=$O$7,$B1558&lt;'111'!$N$11),"x","")</f>
        <v/>
      </c>
      <c r="Q1558" s="55" t="str">
        <f>IF(AND($M1558=$O$7,$B1558&lt;'111'!$N$11),"x","")</f>
        <v/>
      </c>
      <c r="R1558" s="55" t="str">
        <f>IF(ISERROR(FIND('112'!$M$9,G1558,1)),"",IF((AND(FIND('112'!$M$9,G1558,1)&gt;=1,$B1558&gt;='112'!$N$8,$B1558&lt;='112'!$O$8,OR($L1558='112'!$I$6,$M1558='112'!$I$6))),"x",""))</f>
        <v/>
      </c>
      <c r="S1558" s="55" t="str">
        <f>IF(ISERROR(FIND('112'!$M$9,G1558,1)),"",IF((AND(LEFT(G1558,2)=LEFT('112'!$M$9,2),B1558&lt;'112'!$N$8,$L1558='112'!$I$6)),"x",""))</f>
        <v/>
      </c>
      <c r="T1558" s="55" t="str">
        <f>IF(ISERROR(FIND('112'!$M$9,G1558,1)),"",IF((AND(RIGHT(G1558,2)=RIGHT('112'!$M$9,2),B1558&lt;'112'!$N$8,$M1558='112'!$I$6)),"x",""))</f>
        <v/>
      </c>
      <c r="U1558" s="55" t="str">
        <f>IF(AND('3411-CT'!$F$9=H1558,OR(LEFT(L1558,3)=$U$7,LEFT(M1558,3)=$U$7)),"x","")</f>
        <v/>
      </c>
      <c r="V1558" s="55" t="str">
        <f>IF(OR(TH!L1558=TH!$V$7,M1558=TH!$V$7),"x","")</f>
        <v/>
      </c>
      <c r="W1558" s="55" t="str">
        <f>IF(AND(OR(L1558="131",M1558="131"),H1558='131-CT'!$E$7),"x","")</f>
        <v/>
      </c>
      <c r="X1558" s="55" t="str">
        <f>IF(AND(B1558&gt;='IN-NX'!$P$3,B1558&lt;='IN-NX'!$Q$3,'IN-NX'!$D$7=D1558,OR(LEFT(TH!L1558,2)="15",LEFT(TH!M1558,2)="15")),"x","")</f>
        <v/>
      </c>
      <c r="Y1558" s="55" t="str">
        <f>IF(AND(OR(LEFT(TH!L1558,2)="15",LEFT(TH!M1558,2)="15"),'152-CT'!$J$8=TH!F1558),"x","")</f>
        <v/>
      </c>
      <c r="Z1558" s="55" t="str">
        <f>IF(AND(OR(LEFT(TH!L1558,2)="15",LEFT(TH!M1558,2)="15"),TK!$E$7=TH!F1558),"x","")</f>
        <v/>
      </c>
      <c r="AA1558" s="55" t="str">
        <f>IF(AND(B1558&lt;=NKC!$N$8,B1558&gt;=NKC!$M$8),"x","")</f>
        <v/>
      </c>
    </row>
    <row r="1559" spans="1:27" ht="15.75" customHeight="1">
      <c r="A1559" s="219" t="str">
        <f>IF(B1559&lt;&gt;"",IF(AND(B1559&gt;=_TM1,B1559&lt;=_TM2,OR(TH!L1559="1111",TH!M1559="1111")),TH!D1559,""),"")</f>
        <v/>
      </c>
      <c r="B1559" s="36" t="str">
        <f t="shared" si="59"/>
        <v/>
      </c>
      <c r="C1559" s="37"/>
      <c r="D1559" s="37"/>
      <c r="E1559" s="37"/>
      <c r="F1559" s="40"/>
      <c r="G1559" s="40"/>
      <c r="H1559" s="45"/>
      <c r="I1559" s="277"/>
      <c r="J1559" s="277"/>
      <c r="K1559" s="38"/>
      <c r="L1559" s="39"/>
      <c r="M1559" s="39"/>
      <c r="N1559" s="55" t="str">
        <f>IF(AND('331-CT'!$E$7=TH!H1559,OR(L1559="331",M1559="331")),"x","")</f>
        <v/>
      </c>
      <c r="O1559" s="55" t="str">
        <f>IF(AND($B1559&gt;='111'!$N$11,$B1559&lt;='111'!$O$11,OR($L1559=$O$7,$M1559=$O$7)),"x","")</f>
        <v/>
      </c>
      <c r="P1559" s="55" t="str">
        <f>IF(AND($L1559=$O$7,$B1559&lt;'111'!$N$11),"x","")</f>
        <v/>
      </c>
      <c r="Q1559" s="55" t="str">
        <f>IF(AND($M1559=$O$7,$B1559&lt;'111'!$N$11),"x","")</f>
        <v/>
      </c>
      <c r="R1559" s="55" t="str">
        <f>IF(ISERROR(FIND('112'!$M$9,G1559,1)),"",IF((AND(FIND('112'!$M$9,G1559,1)&gt;=1,$B1559&gt;='112'!$N$8,$B1559&lt;='112'!$O$8,OR($L1559='112'!$I$6,$M1559='112'!$I$6))),"x",""))</f>
        <v/>
      </c>
      <c r="S1559" s="55" t="str">
        <f>IF(ISERROR(FIND('112'!$M$9,G1559,1)),"",IF((AND(LEFT(G1559,2)=LEFT('112'!$M$9,2),B1559&lt;'112'!$N$8,$L1559='112'!$I$6)),"x",""))</f>
        <v/>
      </c>
      <c r="T1559" s="55" t="str">
        <f>IF(ISERROR(FIND('112'!$M$9,G1559,1)),"",IF((AND(RIGHT(G1559,2)=RIGHT('112'!$M$9,2),B1559&lt;'112'!$N$8,$M1559='112'!$I$6)),"x",""))</f>
        <v/>
      </c>
      <c r="U1559" s="55" t="str">
        <f>IF(AND('3411-CT'!$F$9=H1559,OR(LEFT(L1559,3)=$U$7,LEFT(M1559,3)=$U$7)),"x","")</f>
        <v/>
      </c>
      <c r="V1559" s="55" t="str">
        <f>IF(OR(TH!L1559=TH!$V$7,M1559=TH!$V$7),"x","")</f>
        <v/>
      </c>
      <c r="W1559" s="55" t="str">
        <f>IF(AND(OR(L1559="131",M1559="131"),H1559='131-CT'!$E$7),"x","")</f>
        <v/>
      </c>
      <c r="X1559" s="55" t="str">
        <f>IF(AND(B1559&gt;='IN-NX'!$P$3,B1559&lt;='IN-NX'!$Q$3,'IN-NX'!$D$7=D1559,OR(LEFT(TH!L1559,2)="15",LEFT(TH!M1559,2)="15")),"x","")</f>
        <v/>
      </c>
      <c r="Y1559" s="55" t="str">
        <f>IF(AND(OR(LEFT(TH!L1559,2)="15",LEFT(TH!M1559,2)="15"),'152-CT'!$J$8=TH!F1559),"x","")</f>
        <v/>
      </c>
      <c r="Z1559" s="55" t="str">
        <f>IF(AND(OR(LEFT(TH!L1559,2)="15",LEFT(TH!M1559,2)="15"),TK!$E$7=TH!F1559),"x","")</f>
        <v/>
      </c>
      <c r="AA1559" s="55" t="str">
        <f>IF(AND(B1559&lt;=NKC!$N$8,B1559&gt;=NKC!$M$8),"x","")</f>
        <v/>
      </c>
    </row>
    <row r="1560" spans="1:27" ht="15.75" customHeight="1">
      <c r="A1560" s="219" t="str">
        <f>IF(B1560&lt;&gt;"",IF(AND(B1560&gt;=_TM1,B1560&lt;=_TM2,OR(TH!L1560="1111",TH!M1560="1111")),TH!D1560,""),"")</f>
        <v/>
      </c>
      <c r="B1560" s="36" t="str">
        <f t="shared" si="59"/>
        <v/>
      </c>
      <c r="C1560" s="37"/>
      <c r="D1560" s="37"/>
      <c r="E1560" s="37"/>
      <c r="F1560" s="40"/>
      <c r="G1560" s="40"/>
      <c r="H1560" s="45"/>
      <c r="I1560" s="277"/>
      <c r="J1560" s="277"/>
      <c r="K1560" s="38"/>
      <c r="L1560" s="39"/>
      <c r="M1560" s="39"/>
      <c r="N1560" s="55" t="str">
        <f>IF(AND('331-CT'!$E$7=TH!H1560,OR(L1560="331",M1560="331")),"x","")</f>
        <v/>
      </c>
      <c r="O1560" s="55" t="str">
        <f>IF(AND($B1560&gt;='111'!$N$11,$B1560&lt;='111'!$O$11,OR($L1560=$O$7,$M1560=$O$7)),"x","")</f>
        <v/>
      </c>
      <c r="P1560" s="55" t="str">
        <f>IF(AND($L1560=$O$7,$B1560&lt;'111'!$N$11),"x","")</f>
        <v/>
      </c>
      <c r="Q1560" s="55" t="str">
        <f>IF(AND($M1560=$O$7,$B1560&lt;'111'!$N$11),"x","")</f>
        <v/>
      </c>
      <c r="R1560" s="55" t="str">
        <f>IF(ISERROR(FIND('112'!$M$9,G1560,1)),"",IF((AND(FIND('112'!$M$9,G1560,1)&gt;=1,$B1560&gt;='112'!$N$8,$B1560&lt;='112'!$O$8,OR($L1560='112'!$I$6,$M1560='112'!$I$6))),"x",""))</f>
        <v/>
      </c>
      <c r="S1560" s="55" t="str">
        <f>IF(ISERROR(FIND('112'!$M$9,G1560,1)),"",IF((AND(LEFT(G1560,2)=LEFT('112'!$M$9,2),B1560&lt;'112'!$N$8,$L1560='112'!$I$6)),"x",""))</f>
        <v/>
      </c>
      <c r="T1560" s="55" t="str">
        <f>IF(ISERROR(FIND('112'!$M$9,G1560,1)),"",IF((AND(RIGHT(G1560,2)=RIGHT('112'!$M$9,2),B1560&lt;'112'!$N$8,$M1560='112'!$I$6)),"x",""))</f>
        <v/>
      </c>
      <c r="U1560" s="55" t="str">
        <f>IF(AND('3411-CT'!$F$9=H1560,OR(LEFT(L1560,3)=$U$7,LEFT(M1560,3)=$U$7)),"x","")</f>
        <v/>
      </c>
      <c r="V1560" s="55" t="str">
        <f>IF(OR(TH!L1560=TH!$V$7,M1560=TH!$V$7),"x","")</f>
        <v/>
      </c>
      <c r="W1560" s="55" t="str">
        <f>IF(AND(OR(L1560="131",M1560="131"),H1560='131-CT'!$E$7),"x","")</f>
        <v/>
      </c>
      <c r="X1560" s="55" t="str">
        <f>IF(AND(B1560&gt;='IN-NX'!$P$3,B1560&lt;='IN-NX'!$Q$3,'IN-NX'!$D$7=D1560,OR(LEFT(TH!L1560,2)="15",LEFT(TH!M1560,2)="15")),"x","")</f>
        <v/>
      </c>
      <c r="Y1560" s="55" t="str">
        <f>IF(AND(OR(LEFT(TH!L1560,2)="15",LEFT(TH!M1560,2)="15"),'152-CT'!$J$8=TH!F1560),"x","")</f>
        <v/>
      </c>
      <c r="Z1560" s="55" t="str">
        <f>IF(AND(OR(LEFT(TH!L1560,2)="15",LEFT(TH!M1560,2)="15"),TK!$E$7=TH!F1560),"x","")</f>
        <v/>
      </c>
      <c r="AA1560" s="55" t="str">
        <f>IF(AND(B1560&lt;=NKC!$N$8,B1560&gt;=NKC!$M$8),"x","")</f>
        <v/>
      </c>
    </row>
    <row r="1561" spans="1:27" ht="15.75" customHeight="1">
      <c r="A1561" s="219" t="str">
        <f>IF(B1561&lt;&gt;"",IF(AND(B1561&gt;=_TM1,B1561&lt;=_TM2,OR(TH!L1561="1111",TH!M1561="1111")),TH!D1561,""),"")</f>
        <v/>
      </c>
      <c r="B1561" s="36" t="str">
        <f t="shared" si="59"/>
        <v/>
      </c>
      <c r="C1561" s="37"/>
      <c r="D1561" s="37"/>
      <c r="E1561" s="37"/>
      <c r="F1561" s="40"/>
      <c r="G1561" s="40"/>
      <c r="H1561" s="45"/>
      <c r="I1561" s="277"/>
      <c r="J1561" s="277"/>
      <c r="K1561" s="38"/>
      <c r="L1561" s="39"/>
      <c r="M1561" s="39"/>
      <c r="N1561" s="55" t="str">
        <f>IF(AND('331-CT'!$E$7=TH!H1561,OR(L1561="331",M1561="331")),"x","")</f>
        <v/>
      </c>
      <c r="O1561" s="55" t="str">
        <f>IF(AND($B1561&gt;='111'!$N$11,$B1561&lt;='111'!$O$11,OR($L1561=$O$7,$M1561=$O$7)),"x","")</f>
        <v/>
      </c>
      <c r="P1561" s="55" t="str">
        <f>IF(AND($L1561=$O$7,$B1561&lt;'111'!$N$11),"x","")</f>
        <v/>
      </c>
      <c r="Q1561" s="55" t="str">
        <f>IF(AND($M1561=$O$7,$B1561&lt;'111'!$N$11),"x","")</f>
        <v/>
      </c>
      <c r="R1561" s="55" t="str">
        <f>IF(ISERROR(FIND('112'!$M$9,G1561,1)),"",IF((AND(FIND('112'!$M$9,G1561,1)&gt;=1,$B1561&gt;='112'!$N$8,$B1561&lt;='112'!$O$8,OR($L1561='112'!$I$6,$M1561='112'!$I$6))),"x",""))</f>
        <v/>
      </c>
      <c r="S1561" s="55" t="str">
        <f>IF(ISERROR(FIND('112'!$M$9,G1561,1)),"",IF((AND(LEFT(G1561,2)=LEFT('112'!$M$9,2),B1561&lt;'112'!$N$8,$L1561='112'!$I$6)),"x",""))</f>
        <v/>
      </c>
      <c r="T1561" s="55" t="str">
        <f>IF(ISERROR(FIND('112'!$M$9,G1561,1)),"",IF((AND(RIGHT(G1561,2)=RIGHT('112'!$M$9,2),B1561&lt;'112'!$N$8,$M1561='112'!$I$6)),"x",""))</f>
        <v/>
      </c>
      <c r="U1561" s="55" t="str">
        <f>IF(AND('3411-CT'!$F$9=H1561,OR(LEFT(L1561,3)=$U$7,LEFT(M1561,3)=$U$7)),"x","")</f>
        <v/>
      </c>
      <c r="V1561" s="55" t="str">
        <f>IF(OR(TH!L1561=TH!$V$7,M1561=TH!$V$7),"x","")</f>
        <v/>
      </c>
      <c r="W1561" s="55" t="str">
        <f>IF(AND(OR(L1561="131",M1561="131"),H1561='131-CT'!$E$7),"x","")</f>
        <v/>
      </c>
      <c r="X1561" s="55" t="str">
        <f>IF(AND(B1561&gt;='IN-NX'!$P$3,B1561&lt;='IN-NX'!$Q$3,'IN-NX'!$D$7=D1561,OR(LEFT(TH!L1561,2)="15",LEFT(TH!M1561,2)="15")),"x","")</f>
        <v/>
      </c>
      <c r="Y1561" s="55" t="str">
        <f>IF(AND(OR(LEFT(TH!L1561,2)="15",LEFT(TH!M1561,2)="15"),'152-CT'!$J$8=TH!F1561),"x","")</f>
        <v/>
      </c>
      <c r="Z1561" s="55" t="str">
        <f>IF(AND(OR(LEFT(TH!L1561,2)="15",LEFT(TH!M1561,2)="15"),TK!$E$7=TH!F1561),"x","")</f>
        <v/>
      </c>
      <c r="AA1561" s="55" t="str">
        <f>IF(AND(B1561&lt;=NKC!$N$8,B1561&gt;=NKC!$M$8),"x","")</f>
        <v/>
      </c>
    </row>
    <row r="1562" spans="1:27" ht="15.75" customHeight="1">
      <c r="A1562" s="219" t="str">
        <f>IF(B1562&lt;&gt;"",IF(AND(B1562&gt;=_TM1,B1562&lt;=_TM2,OR(TH!L1562="1111",TH!M1562="1111")),TH!D1562,""),"")</f>
        <v/>
      </c>
      <c r="B1562" s="36" t="str">
        <f t="shared" si="59"/>
        <v/>
      </c>
      <c r="C1562" s="37"/>
      <c r="D1562" s="37"/>
      <c r="E1562" s="37"/>
      <c r="F1562" s="40"/>
      <c r="G1562" s="40"/>
      <c r="H1562" s="45"/>
      <c r="I1562" s="277"/>
      <c r="J1562" s="277"/>
      <c r="K1562" s="38"/>
      <c r="L1562" s="39"/>
      <c r="M1562" s="39"/>
      <c r="N1562" s="55" t="str">
        <f>IF(AND('331-CT'!$E$7=TH!H1562,OR(L1562="331",M1562="331")),"x","")</f>
        <v/>
      </c>
      <c r="O1562" s="55" t="str">
        <f>IF(AND($B1562&gt;='111'!$N$11,$B1562&lt;='111'!$O$11,OR($L1562=$O$7,$M1562=$O$7)),"x","")</f>
        <v/>
      </c>
      <c r="P1562" s="55" t="str">
        <f>IF(AND($L1562=$O$7,$B1562&lt;'111'!$N$11),"x","")</f>
        <v/>
      </c>
      <c r="Q1562" s="55" t="str">
        <f>IF(AND($M1562=$O$7,$B1562&lt;'111'!$N$11),"x","")</f>
        <v/>
      </c>
      <c r="R1562" s="55" t="str">
        <f>IF(ISERROR(FIND('112'!$M$9,G1562,1)),"",IF((AND(FIND('112'!$M$9,G1562,1)&gt;=1,$B1562&gt;='112'!$N$8,$B1562&lt;='112'!$O$8,OR($L1562='112'!$I$6,$M1562='112'!$I$6))),"x",""))</f>
        <v/>
      </c>
      <c r="S1562" s="55" t="str">
        <f>IF(ISERROR(FIND('112'!$M$9,G1562,1)),"",IF((AND(LEFT(G1562,2)=LEFT('112'!$M$9,2),B1562&lt;'112'!$N$8,$L1562='112'!$I$6)),"x",""))</f>
        <v/>
      </c>
      <c r="T1562" s="55" t="str">
        <f>IF(ISERROR(FIND('112'!$M$9,G1562,1)),"",IF((AND(RIGHT(G1562,2)=RIGHT('112'!$M$9,2),B1562&lt;'112'!$N$8,$M1562='112'!$I$6)),"x",""))</f>
        <v/>
      </c>
      <c r="U1562" s="55" t="str">
        <f>IF(AND('3411-CT'!$F$9=H1562,OR(LEFT(L1562,3)=$U$7,LEFT(M1562,3)=$U$7)),"x","")</f>
        <v/>
      </c>
      <c r="V1562" s="55" t="str">
        <f>IF(OR(TH!L1562=TH!$V$7,M1562=TH!$V$7),"x","")</f>
        <v/>
      </c>
      <c r="W1562" s="55" t="str">
        <f>IF(AND(OR(L1562="131",M1562="131"),H1562='131-CT'!$E$7),"x","")</f>
        <v/>
      </c>
      <c r="X1562" s="55" t="str">
        <f>IF(AND(B1562&gt;='IN-NX'!$P$3,B1562&lt;='IN-NX'!$Q$3,'IN-NX'!$D$7=D1562,OR(LEFT(TH!L1562,2)="15",LEFT(TH!M1562,2)="15")),"x","")</f>
        <v/>
      </c>
      <c r="Y1562" s="55" t="str">
        <f>IF(AND(OR(LEFT(TH!L1562,2)="15",LEFT(TH!M1562,2)="15"),'152-CT'!$J$8=TH!F1562),"x","")</f>
        <v/>
      </c>
      <c r="Z1562" s="55" t="str">
        <f>IF(AND(OR(LEFT(TH!L1562,2)="15",LEFT(TH!M1562,2)="15"),TK!$E$7=TH!F1562),"x","")</f>
        <v/>
      </c>
      <c r="AA1562" s="55" t="str">
        <f>IF(AND(B1562&lt;=NKC!$N$8,B1562&gt;=NKC!$M$8),"x","")</f>
        <v/>
      </c>
    </row>
    <row r="1563" spans="1:27" ht="15.75" customHeight="1">
      <c r="A1563" s="219" t="str">
        <f>IF(B1563&lt;&gt;"",IF(AND(B1563&gt;=_TM1,B1563&lt;=_TM2,OR(TH!L1563="1111",TH!M1563="1111")),TH!D1563,""),"")</f>
        <v/>
      </c>
      <c r="B1563" s="36" t="str">
        <f t="shared" si="59"/>
        <v/>
      </c>
      <c r="C1563" s="37"/>
      <c r="D1563" s="37"/>
      <c r="E1563" s="37"/>
      <c r="F1563" s="40"/>
      <c r="G1563" s="40"/>
      <c r="H1563" s="45"/>
      <c r="I1563" s="277"/>
      <c r="J1563" s="277"/>
      <c r="K1563" s="38"/>
      <c r="L1563" s="39"/>
      <c r="M1563" s="39"/>
      <c r="N1563" s="55" t="str">
        <f>IF(AND('331-CT'!$E$7=TH!H1563,OR(L1563="331",M1563="331")),"x","")</f>
        <v/>
      </c>
      <c r="O1563" s="55" t="str">
        <f>IF(AND($B1563&gt;='111'!$N$11,$B1563&lt;='111'!$O$11,OR($L1563=$O$7,$M1563=$O$7)),"x","")</f>
        <v/>
      </c>
      <c r="P1563" s="55" t="str">
        <f>IF(AND($L1563=$O$7,$B1563&lt;'111'!$N$11),"x","")</f>
        <v/>
      </c>
      <c r="Q1563" s="55" t="str">
        <f>IF(AND($M1563=$O$7,$B1563&lt;'111'!$N$11),"x","")</f>
        <v/>
      </c>
      <c r="R1563" s="55" t="str">
        <f>IF(ISERROR(FIND('112'!$M$9,G1563,1)),"",IF((AND(FIND('112'!$M$9,G1563,1)&gt;=1,$B1563&gt;='112'!$N$8,$B1563&lt;='112'!$O$8,OR($L1563='112'!$I$6,$M1563='112'!$I$6))),"x",""))</f>
        <v/>
      </c>
      <c r="S1563" s="55" t="str">
        <f>IF(ISERROR(FIND('112'!$M$9,G1563,1)),"",IF((AND(LEFT(G1563,2)=LEFT('112'!$M$9,2),B1563&lt;'112'!$N$8,$L1563='112'!$I$6)),"x",""))</f>
        <v/>
      </c>
      <c r="T1563" s="55" t="str">
        <f>IF(ISERROR(FIND('112'!$M$9,G1563,1)),"",IF((AND(RIGHT(G1563,2)=RIGHT('112'!$M$9,2),B1563&lt;'112'!$N$8,$M1563='112'!$I$6)),"x",""))</f>
        <v/>
      </c>
      <c r="U1563" s="55" t="str">
        <f>IF(AND('3411-CT'!$F$9=H1563,OR(LEFT(L1563,3)=$U$7,LEFT(M1563,3)=$U$7)),"x","")</f>
        <v/>
      </c>
      <c r="V1563" s="55" t="str">
        <f>IF(OR(TH!L1563=TH!$V$7,M1563=TH!$V$7),"x","")</f>
        <v/>
      </c>
      <c r="W1563" s="55" t="str">
        <f>IF(AND(OR(L1563="131",M1563="131"),H1563='131-CT'!$E$7),"x","")</f>
        <v/>
      </c>
      <c r="X1563" s="55" t="str">
        <f>IF(AND(B1563&gt;='IN-NX'!$P$3,B1563&lt;='IN-NX'!$Q$3,'IN-NX'!$D$7=D1563,OR(LEFT(TH!L1563,2)="15",LEFT(TH!M1563,2)="15")),"x","")</f>
        <v/>
      </c>
      <c r="Y1563" s="55" t="str">
        <f>IF(AND(OR(LEFT(TH!L1563,2)="15",LEFT(TH!M1563,2)="15"),'152-CT'!$J$8=TH!F1563),"x","")</f>
        <v/>
      </c>
      <c r="Z1563" s="55" t="str">
        <f>IF(AND(OR(LEFT(TH!L1563,2)="15",LEFT(TH!M1563,2)="15"),TK!$E$7=TH!F1563),"x","")</f>
        <v/>
      </c>
      <c r="AA1563" s="55" t="str">
        <f>IF(AND(B1563&lt;=NKC!$N$8,B1563&gt;=NKC!$M$8),"x","")</f>
        <v/>
      </c>
    </row>
    <row r="1564" spans="1:27" ht="15.75" customHeight="1">
      <c r="A1564" s="219" t="str">
        <f>IF(B1564&lt;&gt;"",IF(AND(B1564&gt;=_TM1,B1564&lt;=_TM2,OR(TH!L1564="1111",TH!M1564="1111")),TH!D1564,""),"")</f>
        <v/>
      </c>
      <c r="B1564" s="36" t="str">
        <f t="shared" si="59"/>
        <v/>
      </c>
      <c r="C1564" s="37"/>
      <c r="D1564" s="37"/>
      <c r="E1564" s="37"/>
      <c r="F1564" s="40"/>
      <c r="G1564" s="40"/>
      <c r="H1564" s="45"/>
      <c r="I1564" s="277"/>
      <c r="J1564" s="277"/>
      <c r="K1564" s="38"/>
      <c r="L1564" s="39"/>
      <c r="M1564" s="39"/>
      <c r="N1564" s="55" t="str">
        <f>IF(AND('331-CT'!$E$7=TH!H1564,OR(L1564="331",M1564="331")),"x","")</f>
        <v/>
      </c>
      <c r="O1564" s="55" t="str">
        <f>IF(AND($B1564&gt;='111'!$N$11,$B1564&lt;='111'!$O$11,OR($L1564=$O$7,$M1564=$O$7)),"x","")</f>
        <v/>
      </c>
      <c r="P1564" s="55" t="str">
        <f>IF(AND($L1564=$O$7,$B1564&lt;'111'!$N$11),"x","")</f>
        <v/>
      </c>
      <c r="Q1564" s="55" t="str">
        <f>IF(AND($M1564=$O$7,$B1564&lt;'111'!$N$11),"x","")</f>
        <v/>
      </c>
      <c r="R1564" s="55" t="str">
        <f>IF(ISERROR(FIND('112'!$M$9,G1564,1)),"",IF((AND(FIND('112'!$M$9,G1564,1)&gt;=1,$B1564&gt;='112'!$N$8,$B1564&lt;='112'!$O$8,OR($L1564='112'!$I$6,$M1564='112'!$I$6))),"x",""))</f>
        <v/>
      </c>
      <c r="S1564" s="55" t="str">
        <f>IF(ISERROR(FIND('112'!$M$9,G1564,1)),"",IF((AND(LEFT(G1564,2)=LEFT('112'!$M$9,2),B1564&lt;'112'!$N$8,$L1564='112'!$I$6)),"x",""))</f>
        <v/>
      </c>
      <c r="T1564" s="55" t="str">
        <f>IF(ISERROR(FIND('112'!$M$9,G1564,1)),"",IF((AND(RIGHT(G1564,2)=RIGHT('112'!$M$9,2),B1564&lt;'112'!$N$8,$M1564='112'!$I$6)),"x",""))</f>
        <v/>
      </c>
      <c r="U1564" s="55" t="str">
        <f>IF(AND('3411-CT'!$F$9=H1564,OR(LEFT(L1564,3)=$U$7,LEFT(M1564,3)=$U$7)),"x","")</f>
        <v/>
      </c>
      <c r="V1564" s="55" t="str">
        <f>IF(OR(TH!L1564=TH!$V$7,M1564=TH!$V$7),"x","")</f>
        <v/>
      </c>
      <c r="W1564" s="55" t="str">
        <f>IF(AND(OR(L1564="131",M1564="131"),H1564='131-CT'!$E$7),"x","")</f>
        <v/>
      </c>
      <c r="X1564" s="55" t="str">
        <f>IF(AND(B1564&gt;='IN-NX'!$P$3,B1564&lt;='IN-NX'!$Q$3,'IN-NX'!$D$7=D1564,OR(LEFT(TH!L1564,2)="15",LEFT(TH!M1564,2)="15")),"x","")</f>
        <v/>
      </c>
      <c r="Y1564" s="55" t="str">
        <f>IF(AND(OR(LEFT(TH!L1564,2)="15",LEFT(TH!M1564,2)="15"),'152-CT'!$J$8=TH!F1564),"x","")</f>
        <v/>
      </c>
      <c r="Z1564" s="55" t="str">
        <f>IF(AND(OR(LEFT(TH!L1564,2)="15",LEFT(TH!M1564,2)="15"),TK!$E$7=TH!F1564),"x","")</f>
        <v/>
      </c>
      <c r="AA1564" s="55" t="str">
        <f>IF(AND(B1564&lt;=NKC!$N$8,B1564&gt;=NKC!$M$8),"x","")</f>
        <v/>
      </c>
    </row>
    <row r="1565" spans="1:27" ht="15.75" customHeight="1">
      <c r="A1565" s="219" t="str">
        <f>IF(B1565&lt;&gt;"",IF(AND(B1565&gt;=_TM1,B1565&lt;=_TM2,OR(TH!L1565="1111",TH!M1565="1111")),TH!D1565,""),"")</f>
        <v/>
      </c>
      <c r="B1565" s="36" t="str">
        <f t="shared" si="59"/>
        <v/>
      </c>
      <c r="C1565" s="37"/>
      <c r="D1565" s="37"/>
      <c r="E1565" s="37"/>
      <c r="F1565" s="40"/>
      <c r="G1565" s="40"/>
      <c r="H1565" s="45"/>
      <c r="I1565" s="277"/>
      <c r="J1565" s="277"/>
      <c r="K1565" s="38"/>
      <c r="L1565" s="39"/>
      <c r="M1565" s="39"/>
      <c r="N1565" s="55" t="str">
        <f>IF(AND('331-CT'!$E$7=TH!H1565,OR(L1565="331",M1565="331")),"x","")</f>
        <v/>
      </c>
      <c r="O1565" s="55" t="str">
        <f>IF(AND($B1565&gt;='111'!$N$11,$B1565&lt;='111'!$O$11,OR($L1565=$O$7,$M1565=$O$7)),"x","")</f>
        <v/>
      </c>
      <c r="P1565" s="55" t="str">
        <f>IF(AND($L1565=$O$7,$B1565&lt;'111'!$N$11),"x","")</f>
        <v/>
      </c>
      <c r="Q1565" s="55" t="str">
        <f>IF(AND($M1565=$O$7,$B1565&lt;'111'!$N$11),"x","")</f>
        <v/>
      </c>
      <c r="R1565" s="55" t="str">
        <f>IF(ISERROR(FIND('112'!$M$9,G1565,1)),"",IF((AND(FIND('112'!$M$9,G1565,1)&gt;=1,$B1565&gt;='112'!$N$8,$B1565&lt;='112'!$O$8,OR($L1565='112'!$I$6,$M1565='112'!$I$6))),"x",""))</f>
        <v/>
      </c>
      <c r="S1565" s="55" t="str">
        <f>IF(ISERROR(FIND('112'!$M$9,G1565,1)),"",IF((AND(LEFT(G1565,2)=LEFT('112'!$M$9,2),B1565&lt;'112'!$N$8,$L1565='112'!$I$6)),"x",""))</f>
        <v/>
      </c>
      <c r="T1565" s="55" t="str">
        <f>IF(ISERROR(FIND('112'!$M$9,G1565,1)),"",IF((AND(RIGHT(G1565,2)=RIGHT('112'!$M$9,2),B1565&lt;'112'!$N$8,$M1565='112'!$I$6)),"x",""))</f>
        <v/>
      </c>
      <c r="U1565" s="55" t="str">
        <f>IF(AND('3411-CT'!$F$9=H1565,OR(LEFT(L1565,3)=$U$7,LEFT(M1565,3)=$U$7)),"x","")</f>
        <v/>
      </c>
      <c r="V1565" s="55" t="str">
        <f>IF(OR(TH!L1565=TH!$V$7,M1565=TH!$V$7),"x","")</f>
        <v/>
      </c>
      <c r="W1565" s="55" t="str">
        <f>IF(AND(OR(L1565="131",M1565="131"),H1565='131-CT'!$E$7),"x","")</f>
        <v/>
      </c>
      <c r="X1565" s="55" t="str">
        <f>IF(AND(B1565&gt;='IN-NX'!$P$3,B1565&lt;='IN-NX'!$Q$3,'IN-NX'!$D$7=D1565,OR(LEFT(TH!L1565,2)="15",LEFT(TH!M1565,2)="15")),"x","")</f>
        <v/>
      </c>
      <c r="Y1565" s="55" t="str">
        <f>IF(AND(OR(LEFT(TH!L1565,2)="15",LEFT(TH!M1565,2)="15"),'152-CT'!$J$8=TH!F1565),"x","")</f>
        <v/>
      </c>
      <c r="Z1565" s="55" t="str">
        <f>IF(AND(OR(LEFT(TH!L1565,2)="15",LEFT(TH!M1565,2)="15"),TK!$E$7=TH!F1565),"x","")</f>
        <v/>
      </c>
      <c r="AA1565" s="55" t="str">
        <f>IF(AND(B1565&lt;=NKC!$N$8,B1565&gt;=NKC!$M$8),"x","")</f>
        <v/>
      </c>
    </row>
    <row r="1566" spans="1:27" ht="15.75" customHeight="1">
      <c r="A1566" s="219" t="str">
        <f>IF(B1566&lt;&gt;"",IF(AND(B1566&gt;=_TM1,B1566&lt;=_TM2,OR(TH!L1566="1111",TH!M1566="1111")),TH!D1566,""),"")</f>
        <v/>
      </c>
      <c r="B1566" s="36" t="str">
        <f t="shared" si="59"/>
        <v/>
      </c>
      <c r="C1566" s="37"/>
      <c r="D1566" s="37"/>
      <c r="E1566" s="37"/>
      <c r="F1566" s="40"/>
      <c r="G1566" s="40"/>
      <c r="H1566" s="45"/>
      <c r="I1566" s="277"/>
      <c r="J1566" s="277"/>
      <c r="K1566" s="38"/>
      <c r="L1566" s="39"/>
      <c r="M1566" s="39"/>
      <c r="N1566" s="55" t="str">
        <f>IF(AND('331-CT'!$E$7=TH!H1566,OR(L1566="331",M1566="331")),"x","")</f>
        <v/>
      </c>
      <c r="O1566" s="55" t="str">
        <f>IF(AND($B1566&gt;='111'!$N$11,$B1566&lt;='111'!$O$11,OR($L1566=$O$7,$M1566=$O$7)),"x","")</f>
        <v/>
      </c>
      <c r="P1566" s="55" t="str">
        <f>IF(AND($L1566=$O$7,$B1566&lt;'111'!$N$11),"x","")</f>
        <v/>
      </c>
      <c r="Q1566" s="55" t="str">
        <f>IF(AND($M1566=$O$7,$B1566&lt;'111'!$N$11),"x","")</f>
        <v/>
      </c>
      <c r="R1566" s="55" t="str">
        <f>IF(ISERROR(FIND('112'!$M$9,G1566,1)),"",IF((AND(FIND('112'!$M$9,G1566,1)&gt;=1,$B1566&gt;='112'!$N$8,$B1566&lt;='112'!$O$8,OR($L1566='112'!$I$6,$M1566='112'!$I$6))),"x",""))</f>
        <v/>
      </c>
      <c r="S1566" s="55" t="str">
        <f>IF(ISERROR(FIND('112'!$M$9,G1566,1)),"",IF((AND(LEFT(G1566,2)=LEFT('112'!$M$9,2),B1566&lt;'112'!$N$8,$L1566='112'!$I$6)),"x",""))</f>
        <v/>
      </c>
      <c r="T1566" s="55" t="str">
        <f>IF(ISERROR(FIND('112'!$M$9,G1566,1)),"",IF((AND(RIGHT(G1566,2)=RIGHT('112'!$M$9,2),B1566&lt;'112'!$N$8,$M1566='112'!$I$6)),"x",""))</f>
        <v/>
      </c>
      <c r="U1566" s="55" t="str">
        <f>IF(AND('3411-CT'!$F$9=H1566,OR(LEFT(L1566,3)=$U$7,LEFT(M1566,3)=$U$7)),"x","")</f>
        <v/>
      </c>
      <c r="V1566" s="55" t="str">
        <f>IF(OR(TH!L1566=TH!$V$7,M1566=TH!$V$7),"x","")</f>
        <v/>
      </c>
      <c r="W1566" s="55" t="str">
        <f>IF(AND(OR(L1566="131",M1566="131"),H1566='131-CT'!$E$7),"x","")</f>
        <v/>
      </c>
      <c r="X1566" s="55" t="str">
        <f>IF(AND(B1566&gt;='IN-NX'!$P$3,B1566&lt;='IN-NX'!$Q$3,'IN-NX'!$D$7=D1566,OR(LEFT(TH!L1566,2)="15",LEFT(TH!M1566,2)="15")),"x","")</f>
        <v/>
      </c>
      <c r="Y1566" s="55" t="str">
        <f>IF(AND(OR(LEFT(TH!L1566,2)="15",LEFT(TH!M1566,2)="15"),'152-CT'!$J$8=TH!F1566),"x","")</f>
        <v/>
      </c>
      <c r="Z1566" s="55" t="str">
        <f>IF(AND(OR(LEFT(TH!L1566,2)="15",LEFT(TH!M1566,2)="15"),TK!$E$7=TH!F1566),"x","")</f>
        <v/>
      </c>
      <c r="AA1566" s="55" t="str">
        <f>IF(AND(B1566&lt;=NKC!$N$8,B1566&gt;=NKC!$M$8),"x","")</f>
        <v/>
      </c>
    </row>
    <row r="1567" spans="1:27" ht="15.75" customHeight="1">
      <c r="A1567" s="219" t="str">
        <f>IF(B1567&lt;&gt;"",IF(AND(B1567&gt;=_TM1,B1567&lt;=_TM2,OR(TH!L1567="1111",TH!M1567="1111")),TH!D1567,""),"")</f>
        <v/>
      </c>
      <c r="B1567" s="36" t="str">
        <f t="shared" si="59"/>
        <v/>
      </c>
      <c r="C1567" s="37"/>
      <c r="D1567" s="37"/>
      <c r="E1567" s="37"/>
      <c r="F1567" s="40"/>
      <c r="G1567" s="40"/>
      <c r="H1567" s="45"/>
      <c r="I1567" s="277"/>
      <c r="J1567" s="277"/>
      <c r="K1567" s="38"/>
      <c r="L1567" s="39"/>
      <c r="M1567" s="39"/>
      <c r="N1567" s="55" t="str">
        <f>IF(AND('331-CT'!$E$7=TH!H1567,OR(L1567="331",M1567="331")),"x","")</f>
        <v/>
      </c>
      <c r="O1567" s="55" t="str">
        <f>IF(AND($B1567&gt;='111'!$N$11,$B1567&lt;='111'!$O$11,OR($L1567=$O$7,$M1567=$O$7)),"x","")</f>
        <v/>
      </c>
      <c r="P1567" s="55" t="str">
        <f>IF(AND($L1567=$O$7,$B1567&lt;'111'!$N$11),"x","")</f>
        <v/>
      </c>
      <c r="Q1567" s="55" t="str">
        <f>IF(AND($M1567=$O$7,$B1567&lt;'111'!$N$11),"x","")</f>
        <v/>
      </c>
      <c r="R1567" s="55" t="str">
        <f>IF(ISERROR(FIND('112'!$M$9,G1567,1)),"",IF((AND(FIND('112'!$M$9,G1567,1)&gt;=1,$B1567&gt;='112'!$N$8,$B1567&lt;='112'!$O$8,OR($L1567='112'!$I$6,$M1567='112'!$I$6))),"x",""))</f>
        <v/>
      </c>
      <c r="S1567" s="55" t="str">
        <f>IF(ISERROR(FIND('112'!$M$9,G1567,1)),"",IF((AND(LEFT(G1567,2)=LEFT('112'!$M$9,2),B1567&lt;'112'!$N$8,$L1567='112'!$I$6)),"x",""))</f>
        <v/>
      </c>
      <c r="T1567" s="55" t="str">
        <f>IF(ISERROR(FIND('112'!$M$9,G1567,1)),"",IF((AND(RIGHT(G1567,2)=RIGHT('112'!$M$9,2),B1567&lt;'112'!$N$8,$M1567='112'!$I$6)),"x",""))</f>
        <v/>
      </c>
      <c r="U1567" s="55" t="str">
        <f>IF(AND('3411-CT'!$F$9=H1567,OR(LEFT(L1567,3)=$U$7,LEFT(M1567,3)=$U$7)),"x","")</f>
        <v/>
      </c>
      <c r="V1567" s="55" t="str">
        <f>IF(OR(TH!L1567=TH!$V$7,M1567=TH!$V$7),"x","")</f>
        <v/>
      </c>
      <c r="W1567" s="55" t="str">
        <f>IF(AND(OR(L1567="131",M1567="131"),H1567='131-CT'!$E$7),"x","")</f>
        <v/>
      </c>
      <c r="X1567" s="55" t="str">
        <f>IF(AND(B1567&gt;='IN-NX'!$P$3,B1567&lt;='IN-NX'!$Q$3,'IN-NX'!$D$7=D1567,OR(LEFT(TH!L1567,2)="15",LEFT(TH!M1567,2)="15")),"x","")</f>
        <v/>
      </c>
      <c r="Y1567" s="55" t="str">
        <f>IF(AND(OR(LEFT(TH!L1567,2)="15",LEFT(TH!M1567,2)="15"),'152-CT'!$J$8=TH!F1567),"x","")</f>
        <v/>
      </c>
      <c r="Z1567" s="55" t="str">
        <f>IF(AND(OR(LEFT(TH!L1567,2)="15",LEFT(TH!M1567,2)="15"),TK!$E$7=TH!F1567),"x","")</f>
        <v/>
      </c>
      <c r="AA1567" s="55" t="str">
        <f>IF(AND(B1567&lt;=NKC!$N$8,B1567&gt;=NKC!$M$8),"x","")</f>
        <v/>
      </c>
    </row>
    <row r="1568" spans="1:27" ht="15.75" customHeight="1">
      <c r="A1568" s="219" t="str">
        <f>IF(B1568&lt;&gt;"",IF(AND(B1568&gt;=_TM1,B1568&lt;=_TM2,OR(TH!L1568="1111",TH!M1568="1111")),TH!D1568,""),"")</f>
        <v/>
      </c>
      <c r="B1568" s="36" t="str">
        <f t="shared" si="59"/>
        <v/>
      </c>
      <c r="C1568" s="37"/>
      <c r="D1568" s="37"/>
      <c r="E1568" s="37"/>
      <c r="F1568" s="40"/>
      <c r="G1568" s="40"/>
      <c r="H1568" s="45"/>
      <c r="I1568" s="277"/>
      <c r="J1568" s="277"/>
      <c r="K1568" s="38"/>
      <c r="L1568" s="39"/>
      <c r="M1568" s="39"/>
      <c r="N1568" s="55" t="str">
        <f>IF(AND('331-CT'!$E$7=TH!H1568,OR(L1568="331",M1568="331")),"x","")</f>
        <v/>
      </c>
      <c r="O1568" s="55" t="str">
        <f>IF(AND($B1568&gt;='111'!$N$11,$B1568&lt;='111'!$O$11,OR($L1568=$O$7,$M1568=$O$7)),"x","")</f>
        <v/>
      </c>
      <c r="P1568" s="55" t="str">
        <f>IF(AND($L1568=$O$7,$B1568&lt;'111'!$N$11),"x","")</f>
        <v/>
      </c>
      <c r="Q1568" s="55" t="str">
        <f>IF(AND($M1568=$O$7,$B1568&lt;'111'!$N$11),"x","")</f>
        <v/>
      </c>
      <c r="R1568" s="55" t="str">
        <f>IF(ISERROR(FIND('112'!$M$9,G1568,1)),"",IF((AND(FIND('112'!$M$9,G1568,1)&gt;=1,$B1568&gt;='112'!$N$8,$B1568&lt;='112'!$O$8,OR($L1568='112'!$I$6,$M1568='112'!$I$6))),"x",""))</f>
        <v/>
      </c>
      <c r="S1568" s="55" t="str">
        <f>IF(ISERROR(FIND('112'!$M$9,G1568,1)),"",IF((AND(LEFT(G1568,2)=LEFT('112'!$M$9,2),B1568&lt;'112'!$N$8,$L1568='112'!$I$6)),"x",""))</f>
        <v/>
      </c>
      <c r="T1568" s="55" t="str">
        <f>IF(ISERROR(FIND('112'!$M$9,G1568,1)),"",IF((AND(RIGHT(G1568,2)=RIGHT('112'!$M$9,2),B1568&lt;'112'!$N$8,$M1568='112'!$I$6)),"x",""))</f>
        <v/>
      </c>
      <c r="U1568" s="55" t="str">
        <f>IF(AND('3411-CT'!$F$9=H1568,OR(LEFT(L1568,3)=$U$7,LEFT(M1568,3)=$U$7)),"x","")</f>
        <v/>
      </c>
      <c r="V1568" s="55" t="str">
        <f>IF(OR(TH!L1568=TH!$V$7,M1568=TH!$V$7),"x","")</f>
        <v/>
      </c>
      <c r="W1568" s="55" t="str">
        <f>IF(AND(OR(L1568="131",M1568="131"),H1568='131-CT'!$E$7),"x","")</f>
        <v/>
      </c>
      <c r="X1568" s="55" t="str">
        <f>IF(AND(B1568&gt;='IN-NX'!$P$3,B1568&lt;='IN-NX'!$Q$3,'IN-NX'!$D$7=D1568,OR(LEFT(TH!L1568,2)="15",LEFT(TH!M1568,2)="15")),"x","")</f>
        <v/>
      </c>
      <c r="Y1568" s="55" t="str">
        <f>IF(AND(OR(LEFT(TH!L1568,2)="15",LEFT(TH!M1568,2)="15"),'152-CT'!$J$8=TH!F1568),"x","")</f>
        <v/>
      </c>
      <c r="Z1568" s="55" t="str">
        <f>IF(AND(OR(LEFT(TH!L1568,2)="15",LEFT(TH!M1568,2)="15"),TK!$E$7=TH!F1568),"x","")</f>
        <v/>
      </c>
      <c r="AA1568" s="55" t="str">
        <f>IF(AND(B1568&lt;=NKC!$N$8,B1568&gt;=NKC!$M$8),"x","")</f>
        <v/>
      </c>
    </row>
    <row r="1569" spans="1:27" ht="15.75" customHeight="1">
      <c r="A1569" s="219" t="str">
        <f>IF(B1569&lt;&gt;"",IF(AND(B1569&gt;=_TM1,B1569&lt;=_TM2,OR(TH!L1569="1111",TH!M1569="1111")),TH!D1569,""),"")</f>
        <v/>
      </c>
      <c r="B1569" s="36" t="str">
        <f t="shared" si="59"/>
        <v/>
      </c>
      <c r="C1569" s="37"/>
      <c r="D1569" s="37"/>
      <c r="E1569" s="37"/>
      <c r="F1569" s="40"/>
      <c r="G1569" s="40"/>
      <c r="H1569" s="45"/>
      <c r="I1569" s="277"/>
      <c r="J1569" s="277"/>
      <c r="K1569" s="38"/>
      <c r="L1569" s="39"/>
      <c r="M1569" s="39"/>
      <c r="N1569" s="55" t="str">
        <f>IF(AND('331-CT'!$E$7=TH!H1569,OR(L1569="331",M1569="331")),"x","")</f>
        <v/>
      </c>
      <c r="O1569" s="55" t="str">
        <f>IF(AND($B1569&gt;='111'!$N$11,$B1569&lt;='111'!$O$11,OR($L1569=$O$7,$M1569=$O$7)),"x","")</f>
        <v/>
      </c>
      <c r="P1569" s="55" t="str">
        <f>IF(AND($L1569=$O$7,$B1569&lt;'111'!$N$11),"x","")</f>
        <v/>
      </c>
      <c r="Q1569" s="55" t="str">
        <f>IF(AND($M1569=$O$7,$B1569&lt;'111'!$N$11),"x","")</f>
        <v/>
      </c>
      <c r="R1569" s="55" t="str">
        <f>IF(ISERROR(FIND('112'!$M$9,G1569,1)),"",IF((AND(FIND('112'!$M$9,G1569,1)&gt;=1,$B1569&gt;='112'!$N$8,$B1569&lt;='112'!$O$8,OR($L1569='112'!$I$6,$M1569='112'!$I$6))),"x",""))</f>
        <v/>
      </c>
      <c r="S1569" s="55" t="str">
        <f>IF(ISERROR(FIND('112'!$M$9,G1569,1)),"",IF((AND(LEFT(G1569,2)=LEFT('112'!$M$9,2),B1569&lt;'112'!$N$8,$L1569='112'!$I$6)),"x",""))</f>
        <v/>
      </c>
      <c r="T1569" s="55" t="str">
        <f>IF(ISERROR(FIND('112'!$M$9,G1569,1)),"",IF((AND(RIGHT(G1569,2)=RIGHT('112'!$M$9,2),B1569&lt;'112'!$N$8,$M1569='112'!$I$6)),"x",""))</f>
        <v/>
      </c>
      <c r="U1569" s="55" t="str">
        <f>IF(AND('3411-CT'!$F$9=H1569,OR(LEFT(L1569,3)=$U$7,LEFT(M1569,3)=$U$7)),"x","")</f>
        <v/>
      </c>
      <c r="V1569" s="55" t="str">
        <f>IF(OR(TH!L1569=TH!$V$7,M1569=TH!$V$7),"x","")</f>
        <v/>
      </c>
      <c r="W1569" s="55" t="str">
        <f>IF(AND(OR(L1569="131",M1569="131"),H1569='131-CT'!$E$7),"x","")</f>
        <v/>
      </c>
      <c r="X1569" s="55" t="str">
        <f>IF(AND(B1569&gt;='IN-NX'!$P$3,B1569&lt;='IN-NX'!$Q$3,'IN-NX'!$D$7=D1569,OR(LEFT(TH!L1569,2)="15",LEFT(TH!M1569,2)="15")),"x","")</f>
        <v/>
      </c>
      <c r="Y1569" s="55" t="str">
        <f>IF(AND(OR(LEFT(TH!L1569,2)="15",LEFT(TH!M1569,2)="15"),'152-CT'!$J$8=TH!F1569),"x","")</f>
        <v/>
      </c>
      <c r="Z1569" s="55" t="str">
        <f>IF(AND(OR(LEFT(TH!L1569,2)="15",LEFT(TH!M1569,2)="15"),TK!$E$7=TH!F1569),"x","")</f>
        <v/>
      </c>
      <c r="AA1569" s="55" t="str">
        <f>IF(AND(B1569&lt;=NKC!$N$8,B1569&gt;=NKC!$M$8),"x","")</f>
        <v/>
      </c>
    </row>
    <row r="1570" spans="1:27" ht="15.75" customHeight="1">
      <c r="A1570" s="219" t="str">
        <f>IF(B1570&lt;&gt;"",IF(AND(B1570&gt;=_TM1,B1570&lt;=_TM2,OR(TH!L1570="1111",TH!M1570="1111")),TH!D1570,""),"")</f>
        <v/>
      </c>
      <c r="B1570" s="36" t="str">
        <f t="shared" si="59"/>
        <v/>
      </c>
      <c r="C1570" s="37"/>
      <c r="D1570" s="37"/>
      <c r="E1570" s="37"/>
      <c r="F1570" s="40"/>
      <c r="G1570" s="40"/>
      <c r="H1570" s="45"/>
      <c r="I1570" s="277"/>
      <c r="J1570" s="277"/>
      <c r="K1570" s="38"/>
      <c r="L1570" s="39"/>
      <c r="M1570" s="39"/>
      <c r="N1570" s="55" t="str">
        <f>IF(AND('331-CT'!$E$7=TH!H1570,OR(L1570="331",M1570="331")),"x","")</f>
        <v/>
      </c>
      <c r="O1570" s="55" t="str">
        <f>IF(AND($B1570&gt;='111'!$N$11,$B1570&lt;='111'!$O$11,OR($L1570=$O$7,$M1570=$O$7)),"x","")</f>
        <v/>
      </c>
      <c r="P1570" s="55" t="str">
        <f>IF(AND($L1570=$O$7,$B1570&lt;'111'!$N$11),"x","")</f>
        <v/>
      </c>
      <c r="Q1570" s="55" t="str">
        <f>IF(AND($M1570=$O$7,$B1570&lt;'111'!$N$11),"x","")</f>
        <v/>
      </c>
      <c r="R1570" s="55" t="str">
        <f>IF(ISERROR(FIND('112'!$M$9,G1570,1)),"",IF((AND(FIND('112'!$M$9,G1570,1)&gt;=1,$B1570&gt;='112'!$N$8,$B1570&lt;='112'!$O$8,OR($L1570='112'!$I$6,$M1570='112'!$I$6))),"x",""))</f>
        <v/>
      </c>
      <c r="S1570" s="55" t="str">
        <f>IF(ISERROR(FIND('112'!$M$9,G1570,1)),"",IF((AND(LEFT(G1570,2)=LEFT('112'!$M$9,2),B1570&lt;'112'!$N$8,$L1570='112'!$I$6)),"x",""))</f>
        <v/>
      </c>
      <c r="T1570" s="55" t="str">
        <f>IF(ISERROR(FIND('112'!$M$9,G1570,1)),"",IF((AND(RIGHT(G1570,2)=RIGHT('112'!$M$9,2),B1570&lt;'112'!$N$8,$M1570='112'!$I$6)),"x",""))</f>
        <v/>
      </c>
      <c r="U1570" s="55" t="str">
        <f>IF(AND('3411-CT'!$F$9=H1570,OR(LEFT(L1570,3)=$U$7,LEFT(M1570,3)=$U$7)),"x","")</f>
        <v/>
      </c>
      <c r="V1570" s="55" t="str">
        <f>IF(OR(TH!L1570=TH!$V$7,M1570=TH!$V$7),"x","")</f>
        <v/>
      </c>
      <c r="W1570" s="55" t="str">
        <f>IF(AND(OR(L1570="131",M1570="131"),H1570='131-CT'!$E$7),"x","")</f>
        <v/>
      </c>
      <c r="X1570" s="55" t="str">
        <f>IF(AND(B1570&gt;='IN-NX'!$P$3,B1570&lt;='IN-NX'!$Q$3,'IN-NX'!$D$7=D1570,OR(LEFT(TH!L1570,2)="15",LEFT(TH!M1570,2)="15")),"x","")</f>
        <v/>
      </c>
      <c r="Y1570" s="55" t="str">
        <f>IF(AND(OR(LEFT(TH!L1570,2)="15",LEFT(TH!M1570,2)="15"),'152-CT'!$J$8=TH!F1570),"x","")</f>
        <v/>
      </c>
      <c r="Z1570" s="55" t="str">
        <f>IF(AND(OR(LEFT(TH!L1570,2)="15",LEFT(TH!M1570,2)="15"),TK!$E$7=TH!F1570),"x","")</f>
        <v/>
      </c>
      <c r="AA1570" s="55" t="str">
        <f>IF(AND(B1570&lt;=NKC!$N$8,B1570&gt;=NKC!$M$8),"x","")</f>
        <v/>
      </c>
    </row>
    <row r="1571" spans="1:27" s="226" customFormat="1" ht="15.75" customHeight="1">
      <c r="A1571" s="219" t="str">
        <f>IF(B1571&lt;&gt;"",IF(AND(B1571&gt;=_TM1,B1571&lt;=_TM2,OR(TH!L1571="1111",TH!M1571="1111")),TH!D1571,""),"")</f>
        <v/>
      </c>
      <c r="B1571" s="36" t="str">
        <f t="shared" si="59"/>
        <v/>
      </c>
      <c r="C1571" s="37"/>
      <c r="D1571" s="205"/>
      <c r="E1571" s="205"/>
      <c r="F1571" s="206"/>
      <c r="G1571" s="206"/>
      <c r="H1571" s="207"/>
      <c r="I1571" s="277"/>
      <c r="J1571" s="277"/>
      <c r="K1571" s="38"/>
      <c r="L1571" s="208"/>
      <c r="M1571" s="208"/>
      <c r="N1571" s="55" t="str">
        <f>IF(AND('331-CT'!$E$7=TH!H1571,OR(L1571="331",M1571="331")),"x","")</f>
        <v/>
      </c>
      <c r="O1571" s="55" t="str">
        <f>IF(AND($B1571&gt;='111'!$N$11,$B1571&lt;='111'!$O$11,OR($L1571=$O$7,$M1571=$O$7)),"x","")</f>
        <v/>
      </c>
      <c r="P1571" s="55" t="str">
        <f>IF(AND($L1571=$O$7,$B1571&lt;'111'!$N$11),"x","")</f>
        <v/>
      </c>
      <c r="Q1571" s="55" t="str">
        <f>IF(AND($M1571=$O$7,$B1571&lt;'111'!$N$11),"x","")</f>
        <v/>
      </c>
      <c r="R1571" s="55" t="str">
        <f>IF(ISERROR(FIND('112'!$M$9,G1571,1)),"",IF((AND(FIND('112'!$M$9,G1571,1)&gt;=1,$B1571&gt;='112'!$N$8,$B1571&lt;='112'!$O$8,OR($L1571='112'!$I$6,$M1571='112'!$I$6))),"x",""))</f>
        <v/>
      </c>
      <c r="S1571" s="55" t="str">
        <f>IF(ISERROR(FIND('112'!$M$9,G1571,1)),"",IF((AND(LEFT(G1571,2)=LEFT('112'!$M$9,2),B1571&lt;'112'!$N$8,$L1571='112'!$I$6)),"x",""))</f>
        <v/>
      </c>
      <c r="T1571" s="55" t="str">
        <f>IF(ISERROR(FIND('112'!$M$9,G1571,1)),"",IF((AND(RIGHT(G1571,2)=RIGHT('112'!$M$9,2),B1571&lt;'112'!$N$8,$M1571='112'!$I$6)),"x",""))</f>
        <v/>
      </c>
      <c r="U1571" s="55" t="str">
        <f>IF(AND('3411-CT'!$F$9=H1571,OR(LEFT(L1571,3)=$U$7,LEFT(M1571,3)=$U$7)),"x","")</f>
        <v/>
      </c>
      <c r="V1571" s="55" t="str">
        <f>IF(OR(TH!L1571=TH!$V$7,M1571=TH!$V$7),"x","")</f>
        <v/>
      </c>
      <c r="W1571" s="55" t="str">
        <f>IF(AND(OR(L1571="131",M1571="131"),H1571='131-CT'!$E$7),"x","")</f>
        <v/>
      </c>
      <c r="X1571" s="55" t="str">
        <f>IF(AND(B1571&gt;='IN-NX'!$P$3,B1571&lt;='IN-NX'!$Q$3,'IN-NX'!$D$7=D1571,OR(LEFT(TH!L1571,2)="15",LEFT(TH!M1571,2)="15")),"x","")</f>
        <v/>
      </c>
      <c r="Y1571" s="55" t="str">
        <f>IF(AND(OR(LEFT(TH!L1571,2)="15",LEFT(TH!M1571,2)="15"),'152-CT'!$J$8=TH!F1571),"x","")</f>
        <v/>
      </c>
      <c r="Z1571" s="55" t="str">
        <f>IF(AND(OR(LEFT(TH!L1571,2)="15",LEFT(TH!M1571,2)="15"),TK!$E$7=TH!F1571),"x","")</f>
        <v/>
      </c>
      <c r="AA1571" s="55" t="str">
        <f>IF(AND(B1571&lt;=NKC!$N$8,B1571&gt;=NKC!$M$8),"x","")</f>
        <v/>
      </c>
    </row>
    <row r="1572" spans="1:27" s="226" customFormat="1" ht="15.75" customHeight="1">
      <c r="A1572" s="219" t="str">
        <f>IF(B1572&lt;&gt;"",IF(AND(B1572&gt;=_TM1,B1572&lt;=_TM2,OR(TH!L1572="1111",TH!M1572="1111")),TH!D1572,""),"")</f>
        <v/>
      </c>
      <c r="B1572" s="36" t="str">
        <f t="shared" si="59"/>
        <v/>
      </c>
      <c r="C1572" s="37"/>
      <c r="D1572" s="205"/>
      <c r="E1572" s="205"/>
      <c r="F1572" s="206"/>
      <c r="G1572" s="206"/>
      <c r="H1572" s="207"/>
      <c r="I1572" s="277"/>
      <c r="J1572" s="277"/>
      <c r="K1572" s="38"/>
      <c r="L1572" s="208"/>
      <c r="M1572" s="208"/>
      <c r="N1572" s="55" t="str">
        <f>IF(AND('331-CT'!$E$7=TH!H1572,OR(L1572="331",M1572="331")),"x","")</f>
        <v/>
      </c>
      <c r="O1572" s="55" t="str">
        <f>IF(AND($B1572&gt;='111'!$N$11,$B1572&lt;='111'!$O$11,OR($L1572=$O$7,$M1572=$O$7)),"x","")</f>
        <v/>
      </c>
      <c r="P1572" s="55" t="str">
        <f>IF(AND($L1572=$O$7,$B1572&lt;'111'!$N$11),"x","")</f>
        <v/>
      </c>
      <c r="Q1572" s="55" t="str">
        <f>IF(AND($M1572=$O$7,$B1572&lt;'111'!$N$11),"x","")</f>
        <v/>
      </c>
      <c r="R1572" s="55" t="str">
        <f>IF(ISERROR(FIND('112'!$M$9,G1572,1)),"",IF((AND(FIND('112'!$M$9,G1572,1)&gt;=1,$B1572&gt;='112'!$N$8,$B1572&lt;='112'!$O$8,OR($L1572='112'!$I$6,$M1572='112'!$I$6))),"x",""))</f>
        <v/>
      </c>
      <c r="S1572" s="55" t="str">
        <f>IF(ISERROR(FIND('112'!$M$9,G1572,1)),"",IF((AND(LEFT(G1572,2)=LEFT('112'!$M$9,2),B1572&lt;'112'!$N$8,$L1572='112'!$I$6)),"x",""))</f>
        <v/>
      </c>
      <c r="T1572" s="55" t="str">
        <f>IF(ISERROR(FIND('112'!$M$9,G1572,1)),"",IF((AND(RIGHT(G1572,2)=RIGHT('112'!$M$9,2),B1572&lt;'112'!$N$8,$M1572='112'!$I$6)),"x",""))</f>
        <v/>
      </c>
      <c r="U1572" s="55" t="str">
        <f>IF(AND('3411-CT'!$F$9=H1572,OR(LEFT(L1572,3)=$U$7,LEFT(M1572,3)=$U$7)),"x","")</f>
        <v/>
      </c>
      <c r="V1572" s="55" t="str">
        <f>IF(OR(TH!L1572=TH!$V$7,M1572=TH!$V$7),"x","")</f>
        <v/>
      </c>
      <c r="W1572" s="55" t="str">
        <f>IF(AND(OR(L1572="131",M1572="131"),H1572='131-CT'!$E$7),"x","")</f>
        <v/>
      </c>
      <c r="X1572" s="55" t="str">
        <f>IF(AND(B1572&gt;='IN-NX'!$P$3,B1572&lt;='IN-NX'!$Q$3,'IN-NX'!$D$7=D1572,OR(LEFT(TH!L1572,2)="15",LEFT(TH!M1572,2)="15")),"x","")</f>
        <v/>
      </c>
      <c r="Y1572" s="55" t="str">
        <f>IF(AND(OR(LEFT(TH!L1572,2)="15",LEFT(TH!M1572,2)="15"),'152-CT'!$J$8=TH!F1572),"x","")</f>
        <v/>
      </c>
      <c r="Z1572" s="55" t="str">
        <f>IF(AND(OR(LEFT(TH!L1572,2)="15",LEFT(TH!M1572,2)="15"),TK!$E$7=TH!F1572),"x","")</f>
        <v/>
      </c>
      <c r="AA1572" s="55" t="str">
        <f>IF(AND(B1572&lt;=NKC!$N$8,B1572&gt;=NKC!$M$8),"x","")</f>
        <v/>
      </c>
    </row>
    <row r="1573" spans="1:27" s="226" customFormat="1" ht="15.75" customHeight="1">
      <c r="A1573" s="219" t="str">
        <f>IF(B1573&lt;&gt;"",IF(AND(B1573&gt;=_TM1,B1573&lt;=_TM2,OR(TH!L1573="1111",TH!M1573="1111")),TH!D1573,""),"")</f>
        <v/>
      </c>
      <c r="B1573" s="36" t="str">
        <f t="shared" si="59"/>
        <v/>
      </c>
      <c r="C1573" s="37"/>
      <c r="D1573" s="205"/>
      <c r="E1573" s="205"/>
      <c r="F1573" s="206"/>
      <c r="G1573" s="206"/>
      <c r="H1573" s="207"/>
      <c r="I1573" s="277"/>
      <c r="J1573" s="277"/>
      <c r="K1573" s="38"/>
      <c r="L1573" s="208"/>
      <c r="M1573" s="208"/>
      <c r="N1573" s="55" t="str">
        <f>IF(AND('331-CT'!$E$7=TH!H1573,OR(L1573="331",M1573="331")),"x","")</f>
        <v/>
      </c>
      <c r="O1573" s="55" t="str">
        <f>IF(AND($B1573&gt;='111'!$N$11,$B1573&lt;='111'!$O$11,OR($L1573=$O$7,$M1573=$O$7)),"x","")</f>
        <v/>
      </c>
      <c r="P1573" s="55" t="str">
        <f>IF(AND($L1573=$O$7,$B1573&lt;'111'!$N$11),"x","")</f>
        <v/>
      </c>
      <c r="Q1573" s="55" t="str">
        <f>IF(AND($M1573=$O$7,$B1573&lt;'111'!$N$11),"x","")</f>
        <v/>
      </c>
      <c r="R1573" s="55" t="str">
        <f>IF(ISERROR(FIND('112'!$M$9,G1573,1)),"",IF((AND(FIND('112'!$M$9,G1573,1)&gt;=1,$B1573&gt;='112'!$N$8,$B1573&lt;='112'!$O$8,OR($L1573='112'!$I$6,$M1573='112'!$I$6))),"x",""))</f>
        <v/>
      </c>
      <c r="S1573" s="55" t="str">
        <f>IF(ISERROR(FIND('112'!$M$9,G1573,1)),"",IF((AND(LEFT(G1573,2)=LEFT('112'!$M$9,2),B1573&lt;'112'!$N$8,$L1573='112'!$I$6)),"x",""))</f>
        <v/>
      </c>
      <c r="T1573" s="55" t="str">
        <f>IF(ISERROR(FIND('112'!$M$9,G1573,1)),"",IF((AND(RIGHT(G1573,2)=RIGHT('112'!$M$9,2),B1573&lt;'112'!$N$8,$M1573='112'!$I$6)),"x",""))</f>
        <v/>
      </c>
      <c r="U1573" s="55" t="str">
        <f>IF(AND('3411-CT'!$F$9=H1573,OR(LEFT(L1573,3)=$U$7,LEFT(M1573,3)=$U$7)),"x","")</f>
        <v/>
      </c>
      <c r="V1573" s="55" t="str">
        <f>IF(OR(TH!L1573=TH!$V$7,M1573=TH!$V$7),"x","")</f>
        <v/>
      </c>
      <c r="W1573" s="55" t="str">
        <f>IF(AND(OR(L1573="131",M1573="131"),H1573='131-CT'!$E$7),"x","")</f>
        <v/>
      </c>
      <c r="X1573" s="55" t="str">
        <f>IF(AND(B1573&gt;='IN-NX'!$P$3,B1573&lt;='IN-NX'!$Q$3,'IN-NX'!$D$7=D1573,OR(LEFT(TH!L1573,2)="15",LEFT(TH!M1573,2)="15")),"x","")</f>
        <v/>
      </c>
      <c r="Y1573" s="55" t="str">
        <f>IF(AND(OR(LEFT(TH!L1573,2)="15",LEFT(TH!M1573,2)="15"),'152-CT'!$J$8=TH!F1573),"x","")</f>
        <v/>
      </c>
      <c r="Z1573" s="55" t="str">
        <f>IF(AND(OR(LEFT(TH!L1573,2)="15",LEFT(TH!M1573,2)="15"),TK!$E$7=TH!F1573),"x","")</f>
        <v/>
      </c>
      <c r="AA1573" s="55" t="str">
        <f>IF(AND(B1573&lt;=NKC!$N$8,B1573&gt;=NKC!$M$8),"x","")</f>
        <v/>
      </c>
    </row>
    <row r="1574" spans="1:27" s="226" customFormat="1" ht="15.75" customHeight="1">
      <c r="A1574" s="219" t="str">
        <f>IF(B1574&lt;&gt;"",IF(AND(B1574&gt;=_TM1,B1574&lt;=_TM2,OR(TH!L1574="1111",TH!M1574="1111")),TH!D1574,""),"")</f>
        <v/>
      </c>
      <c r="B1574" s="36" t="str">
        <f t="shared" si="59"/>
        <v/>
      </c>
      <c r="C1574" s="37"/>
      <c r="D1574" s="37"/>
      <c r="E1574" s="37"/>
      <c r="F1574" s="40"/>
      <c r="G1574" s="580"/>
      <c r="H1574" s="225"/>
      <c r="I1574" s="278"/>
      <c r="J1574" s="278"/>
      <c r="K1574" s="215"/>
      <c r="L1574" s="208"/>
      <c r="M1574" s="39"/>
      <c r="N1574" s="55" t="str">
        <f>IF(AND('331-CT'!$E$7=TH!H1574,OR(L1574="331",M1574="331")),"x","")</f>
        <v/>
      </c>
      <c r="O1574" s="55" t="str">
        <f>IF(AND($B1574&gt;='111'!$N$11,$B1574&lt;='111'!$O$11,OR($L1574=$O$7,$M1574=$O$7)),"x","")</f>
        <v/>
      </c>
      <c r="P1574" s="55" t="str">
        <f>IF(AND($L1574=$O$7,$B1574&lt;'111'!$N$11),"x","")</f>
        <v/>
      </c>
      <c r="Q1574" s="55" t="str">
        <f>IF(AND($M1574=$O$7,$B1574&lt;'111'!$N$11),"x","")</f>
        <v/>
      </c>
      <c r="R1574" s="55" t="str">
        <f>IF(ISERROR(FIND('112'!$M$9,G1574,1)),"",IF((AND(FIND('112'!$M$9,G1574,1)&gt;=1,$B1574&gt;='112'!$N$8,$B1574&lt;='112'!$O$8,OR($L1574='112'!$I$6,$M1574='112'!$I$6))),"x",""))</f>
        <v/>
      </c>
      <c r="S1574" s="55" t="str">
        <f>IF(ISERROR(FIND('112'!$M$9,G1574,1)),"",IF((AND(LEFT(G1574,2)=LEFT('112'!$M$9,2),B1574&lt;'112'!$N$8,$L1574='112'!$I$6)),"x",""))</f>
        <v/>
      </c>
      <c r="T1574" s="55" t="str">
        <f>IF(ISERROR(FIND('112'!$M$9,G1574,1)),"",IF((AND(RIGHT(G1574,2)=RIGHT('112'!$M$9,2),B1574&lt;'112'!$N$8,$M1574='112'!$I$6)),"x",""))</f>
        <v/>
      </c>
      <c r="U1574" s="55" t="str">
        <f>IF(AND('3411-CT'!$F$9=H1574,OR(LEFT(L1574,3)=$U$7,LEFT(M1574,3)=$U$7)),"x","")</f>
        <v/>
      </c>
      <c r="V1574" s="55" t="str">
        <f>IF(OR(TH!L1574=TH!$V$7,M1574=TH!$V$7),"x","")</f>
        <v/>
      </c>
      <c r="W1574" s="55" t="str">
        <f>IF(AND(OR(L1574="131",M1574="131"),H1574='131-CT'!$E$7),"x","")</f>
        <v/>
      </c>
      <c r="X1574" s="55" t="str">
        <f>IF(AND(B1574&gt;='IN-NX'!$P$3,B1574&lt;='IN-NX'!$Q$3,'IN-NX'!$D$7=D1574,OR(LEFT(TH!L1574,2)="15",LEFT(TH!M1574,2)="15")),"x","")</f>
        <v/>
      </c>
      <c r="Y1574" s="55" t="str">
        <f>IF(AND(OR(LEFT(TH!L1574,2)="15",LEFT(TH!M1574,2)="15"),'152-CT'!$J$8=TH!F1574),"x","")</f>
        <v/>
      </c>
      <c r="Z1574" s="55" t="str">
        <f>IF(AND(OR(LEFT(TH!L1574,2)="15",LEFT(TH!M1574,2)="15"),TK!$E$7=TH!F1574),"x","")</f>
        <v/>
      </c>
      <c r="AA1574" s="55" t="str">
        <f>IF(AND(B1574&lt;=NKC!$N$8,B1574&gt;=NKC!$M$8),"x","")</f>
        <v/>
      </c>
    </row>
    <row r="1575" spans="1:27" s="226" customFormat="1" ht="15.75" customHeight="1">
      <c r="A1575" s="219" t="str">
        <f>IF(B1575&lt;&gt;"",IF(AND(B1575&gt;=_TM1,B1575&lt;=_TM2,OR(TH!L1575="1111",TH!M1575="1111")),TH!D1575,""),"")</f>
        <v/>
      </c>
      <c r="B1575" s="36" t="str">
        <f t="shared" si="59"/>
        <v/>
      </c>
      <c r="C1575" s="37"/>
      <c r="D1575" s="37"/>
      <c r="E1575" s="37"/>
      <c r="F1575" s="40"/>
      <c r="G1575" s="580"/>
      <c r="H1575" s="225"/>
      <c r="I1575" s="278"/>
      <c r="J1575" s="278"/>
      <c r="K1575" s="38"/>
      <c r="L1575" s="208"/>
      <c r="M1575" s="39"/>
      <c r="N1575" s="55" t="str">
        <f>IF(AND('331-CT'!$E$7=TH!H1575,OR(L1575="331",M1575="331")),"x","")</f>
        <v/>
      </c>
      <c r="O1575" s="55" t="str">
        <f>IF(AND($B1575&gt;='111'!$N$11,$B1575&lt;='111'!$O$11,OR($L1575=$O$7,$M1575=$O$7)),"x","")</f>
        <v/>
      </c>
      <c r="P1575" s="55" t="str">
        <f>IF(AND($L1575=$O$7,$B1575&lt;'111'!$N$11),"x","")</f>
        <v/>
      </c>
      <c r="Q1575" s="55" t="str">
        <f>IF(AND($M1575=$O$7,$B1575&lt;'111'!$N$11),"x","")</f>
        <v/>
      </c>
      <c r="R1575" s="55" t="str">
        <f>IF(ISERROR(FIND('112'!$M$9,G1575,1)),"",IF((AND(FIND('112'!$M$9,G1575,1)&gt;=1,$B1575&gt;='112'!$N$8,$B1575&lt;='112'!$O$8,OR($L1575='112'!$I$6,$M1575='112'!$I$6))),"x",""))</f>
        <v/>
      </c>
      <c r="S1575" s="55" t="str">
        <f>IF(ISERROR(FIND('112'!$M$9,G1575,1)),"",IF((AND(LEFT(G1575,2)=LEFT('112'!$M$9,2),B1575&lt;'112'!$N$8,$L1575='112'!$I$6)),"x",""))</f>
        <v/>
      </c>
      <c r="T1575" s="55" t="str">
        <f>IF(ISERROR(FIND('112'!$M$9,G1575,1)),"",IF((AND(RIGHT(G1575,2)=RIGHT('112'!$M$9,2),B1575&lt;'112'!$N$8,$M1575='112'!$I$6)),"x",""))</f>
        <v/>
      </c>
      <c r="U1575" s="55" t="str">
        <f>IF(AND('3411-CT'!$F$9=H1575,OR(LEFT(L1575,3)=$U$7,LEFT(M1575,3)=$U$7)),"x","")</f>
        <v/>
      </c>
      <c r="V1575" s="55" t="str">
        <f>IF(OR(TH!L1575=TH!$V$7,M1575=TH!$V$7),"x","")</f>
        <v/>
      </c>
      <c r="W1575" s="55" t="str">
        <f>IF(AND(OR(L1575="131",M1575="131"),H1575='131-CT'!$E$7),"x","")</f>
        <v/>
      </c>
      <c r="X1575" s="55" t="str">
        <f>IF(AND(B1575&gt;='IN-NX'!$P$3,B1575&lt;='IN-NX'!$Q$3,'IN-NX'!$D$7=D1575,OR(LEFT(TH!L1575,2)="15",LEFT(TH!M1575,2)="15")),"x","")</f>
        <v/>
      </c>
      <c r="Y1575" s="55" t="str">
        <f>IF(AND(OR(LEFT(TH!L1575,2)="15",LEFT(TH!M1575,2)="15"),'152-CT'!$J$8=TH!F1575),"x","")</f>
        <v/>
      </c>
      <c r="Z1575" s="55" t="str">
        <f>IF(AND(OR(LEFT(TH!L1575,2)="15",LEFT(TH!M1575,2)="15"),TK!$E$7=TH!F1575),"x","")</f>
        <v/>
      </c>
      <c r="AA1575" s="55" t="str">
        <f>IF(AND(B1575&lt;=NKC!$N$8,B1575&gt;=NKC!$M$8),"x","")</f>
        <v/>
      </c>
    </row>
    <row r="1576" spans="1:27" s="226" customFormat="1" ht="15.75" customHeight="1">
      <c r="A1576" s="219" t="str">
        <f>IF(B1576&lt;&gt;"",IF(AND(B1576&gt;=_TM1,B1576&lt;=_TM2,OR(TH!L1576="1111",TH!M1576="1111")),TH!D1576,""),"")</f>
        <v/>
      </c>
      <c r="B1576" s="36" t="str">
        <f t="shared" si="59"/>
        <v/>
      </c>
      <c r="C1576" s="37"/>
      <c r="D1576" s="37"/>
      <c r="E1576" s="37"/>
      <c r="F1576" s="40"/>
      <c r="G1576" s="580"/>
      <c r="H1576" s="45"/>
      <c r="I1576" s="277"/>
      <c r="J1576" s="277"/>
      <c r="K1576" s="38"/>
      <c r="L1576" s="39"/>
      <c r="M1576" s="39"/>
      <c r="N1576" s="55" t="str">
        <f>IF(AND('331-CT'!$E$7=TH!H1576,OR(L1576="331",M1576="331")),"x","")</f>
        <v/>
      </c>
      <c r="O1576" s="55" t="str">
        <f>IF(AND($B1576&gt;='111'!$N$11,$B1576&lt;='111'!$O$11,OR($L1576=$O$7,$M1576=$O$7)),"x","")</f>
        <v/>
      </c>
      <c r="P1576" s="55" t="str">
        <f>IF(AND($L1576=$O$7,$B1576&lt;'111'!$N$11),"x","")</f>
        <v/>
      </c>
      <c r="Q1576" s="55" t="str">
        <f>IF(AND($M1576=$O$7,$B1576&lt;'111'!$N$11),"x","")</f>
        <v/>
      </c>
      <c r="R1576" s="55" t="str">
        <f>IF(ISERROR(FIND('112'!$M$9,G1576,1)),"",IF((AND(FIND('112'!$M$9,G1576,1)&gt;=1,$B1576&gt;='112'!$N$8,$B1576&lt;='112'!$O$8,OR($L1576='112'!$I$6,$M1576='112'!$I$6))),"x",""))</f>
        <v/>
      </c>
      <c r="S1576" s="55" t="str">
        <f>IF(ISERROR(FIND('112'!$M$9,G1576,1)),"",IF((AND(LEFT(G1576,2)=LEFT('112'!$M$9,2),B1576&lt;'112'!$N$8,$L1576='112'!$I$6)),"x",""))</f>
        <v/>
      </c>
      <c r="T1576" s="55" t="str">
        <f>IF(ISERROR(FIND('112'!$M$9,G1576,1)),"",IF((AND(RIGHT(G1576,2)=RIGHT('112'!$M$9,2),B1576&lt;'112'!$N$8,$M1576='112'!$I$6)),"x",""))</f>
        <v/>
      </c>
      <c r="U1576" s="55" t="str">
        <f>IF(AND('3411-CT'!$F$9=H1576,OR(LEFT(L1576,3)=$U$7,LEFT(M1576,3)=$U$7)),"x","")</f>
        <v/>
      </c>
      <c r="V1576" s="55" t="str">
        <f>IF(OR(TH!L1576=TH!$V$7,M1576=TH!$V$7),"x","")</f>
        <v/>
      </c>
      <c r="W1576" s="55" t="str">
        <f>IF(AND(OR(L1576="131",M1576="131"),H1576='131-CT'!$E$7),"x","")</f>
        <v/>
      </c>
      <c r="X1576" s="55" t="str">
        <f>IF(AND(B1576&gt;='IN-NX'!$P$3,B1576&lt;='IN-NX'!$Q$3,'IN-NX'!$D$7=D1576,OR(LEFT(TH!L1576,2)="15",LEFT(TH!M1576,2)="15")),"x","")</f>
        <v/>
      </c>
      <c r="Y1576" s="55" t="str">
        <f>IF(AND(OR(LEFT(TH!L1576,2)="15",LEFT(TH!M1576,2)="15"),'152-CT'!$J$8=TH!F1576),"x","")</f>
        <v/>
      </c>
      <c r="Z1576" s="55" t="str">
        <f>IF(AND(OR(LEFT(TH!L1576,2)="15",LEFT(TH!M1576,2)="15"),TK!$E$7=TH!F1576),"x","")</f>
        <v/>
      </c>
      <c r="AA1576" s="55" t="str">
        <f>IF(AND(B1576&lt;=NKC!$N$8,B1576&gt;=NKC!$M$8),"x","")</f>
        <v/>
      </c>
    </row>
    <row r="1577" spans="1:27" s="226" customFormat="1" ht="15.75" customHeight="1">
      <c r="A1577" s="219" t="str">
        <f>IF(B1577&lt;&gt;"",IF(AND(B1577&gt;=_TM1,B1577&lt;=_TM2,OR(TH!L1577="1111",TH!M1577="1111")),TH!D1577,""),"")</f>
        <v/>
      </c>
      <c r="B1577" s="36" t="str">
        <f t="shared" si="59"/>
        <v/>
      </c>
      <c r="C1577" s="37"/>
      <c r="D1577" s="37"/>
      <c r="E1577" s="37"/>
      <c r="F1577" s="40"/>
      <c r="G1577" s="580"/>
      <c r="H1577" s="45"/>
      <c r="I1577" s="277"/>
      <c r="J1577" s="277"/>
      <c r="K1577" s="38"/>
      <c r="L1577" s="39"/>
      <c r="M1577" s="39"/>
      <c r="N1577" s="55" t="str">
        <f>IF(AND('331-CT'!$E$7=TH!H1577,OR(L1577="331",M1577="331")),"x","")</f>
        <v/>
      </c>
      <c r="O1577" s="55" t="str">
        <f>IF(AND($B1577&gt;='111'!$N$11,$B1577&lt;='111'!$O$11,OR($L1577=$O$7,$M1577=$O$7)),"x","")</f>
        <v/>
      </c>
      <c r="P1577" s="55" t="str">
        <f>IF(AND($L1577=$O$7,$B1577&lt;'111'!$N$11),"x","")</f>
        <v/>
      </c>
      <c r="Q1577" s="55" t="str">
        <f>IF(AND($M1577=$O$7,$B1577&lt;'111'!$N$11),"x","")</f>
        <v/>
      </c>
      <c r="R1577" s="55" t="str">
        <f>IF(ISERROR(FIND('112'!$M$9,G1577,1)),"",IF((AND(FIND('112'!$M$9,G1577,1)&gt;=1,$B1577&gt;='112'!$N$8,$B1577&lt;='112'!$O$8,OR($L1577='112'!$I$6,$M1577='112'!$I$6))),"x",""))</f>
        <v/>
      </c>
      <c r="S1577" s="55" t="str">
        <f>IF(ISERROR(FIND('112'!$M$9,G1577,1)),"",IF((AND(LEFT(G1577,2)=LEFT('112'!$M$9,2),B1577&lt;'112'!$N$8,$L1577='112'!$I$6)),"x",""))</f>
        <v/>
      </c>
      <c r="T1577" s="55" t="str">
        <f>IF(ISERROR(FIND('112'!$M$9,G1577,1)),"",IF((AND(RIGHT(G1577,2)=RIGHT('112'!$M$9,2),B1577&lt;'112'!$N$8,$M1577='112'!$I$6)),"x",""))</f>
        <v/>
      </c>
      <c r="U1577" s="55" t="str">
        <f>IF(AND('3411-CT'!$F$9=H1577,OR(LEFT(L1577,3)=$U$7,LEFT(M1577,3)=$U$7)),"x","")</f>
        <v/>
      </c>
      <c r="V1577" s="55" t="str">
        <f>IF(OR(TH!L1577=TH!$V$7,M1577=TH!$V$7),"x","")</f>
        <v/>
      </c>
      <c r="W1577" s="55" t="str">
        <f>IF(AND(OR(L1577="131",M1577="131"),H1577='131-CT'!$E$7),"x","")</f>
        <v/>
      </c>
      <c r="X1577" s="55" t="str">
        <f>IF(AND(B1577&gt;='IN-NX'!$P$3,B1577&lt;='IN-NX'!$Q$3,'IN-NX'!$D$7=D1577,OR(LEFT(TH!L1577,2)="15",LEFT(TH!M1577,2)="15")),"x","")</f>
        <v/>
      </c>
      <c r="Y1577" s="55" t="str">
        <f>IF(AND(OR(LEFT(TH!L1577,2)="15",LEFT(TH!M1577,2)="15"),'152-CT'!$J$8=TH!F1577),"x","")</f>
        <v/>
      </c>
      <c r="Z1577" s="55" t="str">
        <f>IF(AND(OR(LEFT(TH!L1577,2)="15",LEFT(TH!M1577,2)="15"),TK!$E$7=TH!F1577),"x","")</f>
        <v/>
      </c>
      <c r="AA1577" s="55" t="str">
        <f>IF(AND(B1577&lt;=NKC!$N$8,B1577&gt;=NKC!$M$8),"x","")</f>
        <v/>
      </c>
    </row>
    <row r="1578" spans="1:27" s="226" customFormat="1" ht="15.75" customHeight="1">
      <c r="A1578" s="219" t="str">
        <f>IF(B1578&lt;&gt;"",IF(AND(B1578&gt;=_TM1,B1578&lt;=_TM2,OR(TH!L1578="1111",TH!M1578="1111")),TH!D1578,""),"")</f>
        <v/>
      </c>
      <c r="B1578" s="36" t="str">
        <f t="shared" si="59"/>
        <v/>
      </c>
      <c r="C1578" s="37"/>
      <c r="D1578" s="37"/>
      <c r="E1578" s="37"/>
      <c r="F1578" s="40"/>
      <c r="G1578" s="580"/>
      <c r="H1578" s="45"/>
      <c r="I1578" s="277"/>
      <c r="J1578" s="277"/>
      <c r="K1578" s="38"/>
      <c r="L1578" s="39"/>
      <c r="M1578" s="39"/>
      <c r="N1578" s="55" t="str">
        <f>IF(AND('331-CT'!$E$7=TH!H1578,OR(L1578="331",M1578="331")),"x","")</f>
        <v/>
      </c>
      <c r="O1578" s="55" t="str">
        <f>IF(AND($B1578&gt;='111'!$N$11,$B1578&lt;='111'!$O$11,OR($L1578=$O$7,$M1578=$O$7)),"x","")</f>
        <v/>
      </c>
      <c r="P1578" s="55" t="str">
        <f>IF(AND($L1578=$O$7,$B1578&lt;'111'!$N$11),"x","")</f>
        <v/>
      </c>
      <c r="Q1578" s="55" t="str">
        <f>IF(AND($M1578=$O$7,$B1578&lt;'111'!$N$11),"x","")</f>
        <v/>
      </c>
      <c r="R1578" s="55" t="str">
        <f>IF(ISERROR(FIND('112'!$M$9,G1578,1)),"",IF((AND(FIND('112'!$M$9,G1578,1)&gt;=1,$B1578&gt;='112'!$N$8,$B1578&lt;='112'!$O$8,OR($L1578='112'!$I$6,$M1578='112'!$I$6))),"x",""))</f>
        <v/>
      </c>
      <c r="S1578" s="55" t="str">
        <f>IF(ISERROR(FIND('112'!$M$9,G1578,1)),"",IF((AND(LEFT(G1578,2)=LEFT('112'!$M$9,2),B1578&lt;'112'!$N$8,$L1578='112'!$I$6)),"x",""))</f>
        <v/>
      </c>
      <c r="T1578" s="55" t="str">
        <f>IF(ISERROR(FIND('112'!$M$9,G1578,1)),"",IF((AND(RIGHT(G1578,2)=RIGHT('112'!$M$9,2),B1578&lt;'112'!$N$8,$M1578='112'!$I$6)),"x",""))</f>
        <v/>
      </c>
      <c r="U1578" s="55" t="str">
        <f>IF(AND('3411-CT'!$F$9=H1578,OR(LEFT(L1578,3)=$U$7,LEFT(M1578,3)=$U$7)),"x","")</f>
        <v/>
      </c>
      <c r="V1578" s="55" t="str">
        <f>IF(OR(TH!L1578=TH!$V$7,M1578=TH!$V$7),"x","")</f>
        <v/>
      </c>
      <c r="W1578" s="55" t="str">
        <f>IF(AND(OR(L1578="131",M1578="131"),H1578='131-CT'!$E$7),"x","")</f>
        <v/>
      </c>
      <c r="X1578" s="55" t="str">
        <f>IF(AND(B1578&gt;='IN-NX'!$P$3,B1578&lt;='IN-NX'!$Q$3,'IN-NX'!$D$7=D1578,OR(LEFT(TH!L1578,2)="15",LEFT(TH!M1578,2)="15")),"x","")</f>
        <v/>
      </c>
      <c r="Y1578" s="55" t="str">
        <f>IF(AND(OR(LEFT(TH!L1578,2)="15",LEFT(TH!M1578,2)="15"),'152-CT'!$J$8=TH!F1578),"x","")</f>
        <v/>
      </c>
      <c r="Z1578" s="55" t="str">
        <f>IF(AND(OR(LEFT(TH!L1578,2)="15",LEFT(TH!M1578,2)="15"),TK!$E$7=TH!F1578),"x","")</f>
        <v/>
      </c>
      <c r="AA1578" s="55" t="str">
        <f>IF(AND(B1578&lt;=NKC!$N$8,B1578&gt;=NKC!$M$8),"x","")</f>
        <v/>
      </c>
    </row>
    <row r="1579" spans="1:27" s="226" customFormat="1" ht="15.75" customHeight="1">
      <c r="A1579" s="219" t="str">
        <f>IF(B1579&lt;&gt;"",IF(AND(B1579&gt;=_TM1,B1579&lt;=_TM2,OR(TH!L1579="1111",TH!M1579="1111")),TH!D1579,""),"")</f>
        <v/>
      </c>
      <c r="B1579" s="36" t="str">
        <f t="shared" si="59"/>
        <v/>
      </c>
      <c r="C1579" s="37"/>
      <c r="D1579" s="37"/>
      <c r="E1579" s="205"/>
      <c r="F1579" s="206"/>
      <c r="G1579" s="40"/>
      <c r="H1579" s="45"/>
      <c r="I1579" s="277"/>
      <c r="J1579" s="277"/>
      <c r="K1579" s="38"/>
      <c r="L1579" s="208"/>
      <c r="M1579" s="208"/>
      <c r="N1579" s="55" t="str">
        <f>IF(AND('331-CT'!$E$7=TH!H1579,OR(L1579="331",M1579="331")),"x","")</f>
        <v/>
      </c>
      <c r="O1579" s="55" t="str">
        <f>IF(AND($B1579&gt;='111'!$N$11,$B1579&lt;='111'!$O$11,OR($L1579=$O$7,$M1579=$O$7)),"x","")</f>
        <v/>
      </c>
      <c r="P1579" s="55" t="str">
        <f>IF(AND($L1579=$O$7,$B1579&lt;'111'!$N$11),"x","")</f>
        <v/>
      </c>
      <c r="Q1579" s="55" t="str">
        <f>IF(AND($M1579=$O$7,$B1579&lt;'111'!$N$11),"x","")</f>
        <v/>
      </c>
      <c r="R1579" s="55" t="str">
        <f>IF(ISERROR(FIND('112'!$M$9,G1579,1)),"",IF((AND(FIND('112'!$M$9,G1579,1)&gt;=1,$B1579&gt;='112'!$N$8,$B1579&lt;='112'!$O$8,OR($L1579='112'!$I$6,$M1579='112'!$I$6))),"x",""))</f>
        <v/>
      </c>
      <c r="S1579" s="55" t="str">
        <f>IF(ISERROR(FIND('112'!$M$9,G1579,1)),"",IF((AND(LEFT(G1579,2)=LEFT('112'!$M$9,2),B1579&lt;'112'!$N$8,$L1579='112'!$I$6)),"x",""))</f>
        <v/>
      </c>
      <c r="T1579" s="55" t="str">
        <f>IF(ISERROR(FIND('112'!$M$9,G1579,1)),"",IF((AND(RIGHT(G1579,2)=RIGHT('112'!$M$9,2),B1579&lt;'112'!$N$8,$M1579='112'!$I$6)),"x",""))</f>
        <v/>
      </c>
      <c r="U1579" s="55" t="str">
        <f>IF(AND('3411-CT'!$F$9=H1579,OR(LEFT(L1579,3)=$U$7,LEFT(M1579,3)=$U$7)),"x","")</f>
        <v/>
      </c>
      <c r="V1579" s="55" t="str">
        <f>IF(OR(TH!L1579=TH!$V$7,M1579=TH!$V$7),"x","")</f>
        <v/>
      </c>
      <c r="W1579" s="55" t="str">
        <f>IF(AND(OR(L1579="131",M1579="131"),H1579='131-CT'!$E$7),"x","")</f>
        <v/>
      </c>
      <c r="X1579" s="55" t="str">
        <f>IF(AND(B1579&gt;='IN-NX'!$P$3,B1579&lt;='IN-NX'!$Q$3,'IN-NX'!$D$7=D1579,OR(LEFT(TH!L1579,2)="15",LEFT(TH!M1579,2)="15")),"x","")</f>
        <v/>
      </c>
      <c r="Y1579" s="55" t="str">
        <f>IF(AND(OR(LEFT(TH!L1579,2)="15",LEFT(TH!M1579,2)="15"),'152-CT'!$J$8=TH!F1579),"x","")</f>
        <v/>
      </c>
      <c r="Z1579" s="55" t="str">
        <f>IF(AND(OR(LEFT(TH!L1579,2)="15",LEFT(TH!M1579,2)="15"),TK!$E$7=TH!F1579),"x","")</f>
        <v/>
      </c>
      <c r="AA1579" s="55" t="str">
        <f>IF(AND(B1579&lt;=NKC!$N$8,B1579&gt;=NKC!$M$8),"x","")</f>
        <v/>
      </c>
    </row>
    <row r="1580" spans="1:27" ht="15.75" customHeight="1">
      <c r="A1580" s="219" t="str">
        <f>IF(B1580&lt;&gt;"",IF(AND(B1580&gt;=_TM1,B1580&lt;=_TM2,OR(TH!L1580="1111",TH!M1580="1111")),TH!D1580,""),"")</f>
        <v/>
      </c>
      <c r="B1580" s="36" t="str">
        <f t="shared" si="59"/>
        <v/>
      </c>
      <c r="C1580" s="37"/>
      <c r="D1580" s="205"/>
      <c r="E1580" s="205"/>
      <c r="F1580" s="206"/>
      <c r="G1580" s="206"/>
      <c r="H1580" s="207"/>
      <c r="I1580" s="277"/>
      <c r="J1580" s="277"/>
      <c r="K1580" s="38"/>
      <c r="L1580" s="208"/>
      <c r="M1580" s="208"/>
      <c r="N1580" s="55" t="str">
        <f>IF(AND('331-CT'!$E$7=TH!H1580,OR(L1580="331",M1580="331")),"x","")</f>
        <v/>
      </c>
      <c r="O1580" s="55" t="str">
        <f>IF(AND($B1580&gt;='111'!$N$11,$B1580&lt;='111'!$O$11,OR($L1580=$O$7,$M1580=$O$7)),"x","")</f>
        <v/>
      </c>
      <c r="P1580" s="55" t="str">
        <f>IF(AND($L1580=$O$7,$B1580&lt;'111'!$N$11),"x","")</f>
        <v/>
      </c>
      <c r="Q1580" s="55" t="str">
        <f>IF(AND($M1580=$O$7,$B1580&lt;'111'!$N$11),"x","")</f>
        <v/>
      </c>
      <c r="R1580" s="55" t="str">
        <f>IF(ISERROR(FIND('112'!$M$9,G1580,1)),"",IF((AND(FIND('112'!$M$9,G1580,1)&gt;=1,$B1580&gt;='112'!$N$8,$B1580&lt;='112'!$O$8,OR($L1580='112'!$I$6,$M1580='112'!$I$6))),"x",""))</f>
        <v/>
      </c>
      <c r="S1580" s="55" t="str">
        <f>IF(ISERROR(FIND('112'!$M$9,G1580,1)),"",IF((AND(LEFT(G1580,2)=LEFT('112'!$M$9,2),B1580&lt;'112'!$N$8,$L1580='112'!$I$6)),"x",""))</f>
        <v/>
      </c>
      <c r="T1580" s="55" t="str">
        <f>IF(ISERROR(FIND('112'!$M$9,G1580,1)),"",IF((AND(RIGHT(G1580,2)=RIGHT('112'!$M$9,2),B1580&lt;'112'!$N$8,$M1580='112'!$I$6)),"x",""))</f>
        <v/>
      </c>
      <c r="U1580" s="55" t="str">
        <f>IF(AND('3411-CT'!$F$9=H1580,OR(LEFT(L1580,3)=$U$7,LEFT(M1580,3)=$U$7)),"x","")</f>
        <v/>
      </c>
      <c r="V1580" s="55" t="str">
        <f>IF(OR(TH!L1580=TH!$V$7,M1580=TH!$V$7),"x","")</f>
        <v/>
      </c>
      <c r="W1580" s="55" t="str">
        <f>IF(AND(OR(L1580="131",M1580="131"),H1580='131-CT'!$E$7),"x","")</f>
        <v/>
      </c>
      <c r="X1580" s="55" t="str">
        <f>IF(AND(B1580&gt;='IN-NX'!$P$3,B1580&lt;='IN-NX'!$Q$3,'IN-NX'!$D$7=D1580,OR(LEFT(TH!L1580,2)="15",LEFT(TH!M1580,2)="15")),"x","")</f>
        <v/>
      </c>
      <c r="Y1580" s="55" t="str">
        <f>IF(AND(OR(LEFT(TH!L1580,2)="15",LEFT(TH!M1580,2)="15"),'152-CT'!$J$8=TH!F1580),"x","")</f>
        <v/>
      </c>
      <c r="Z1580" s="55" t="str">
        <f>IF(AND(OR(LEFT(TH!L1580,2)="15",LEFT(TH!M1580,2)="15"),TK!$E$7=TH!F1580),"x","")</f>
        <v/>
      </c>
      <c r="AA1580" s="55" t="str">
        <f>IF(AND(B1580&lt;=NKC!$N$8,B1580&gt;=NKC!$M$8),"x","")</f>
        <v/>
      </c>
    </row>
    <row r="1581" spans="1:27" ht="15.75" customHeight="1">
      <c r="A1581" s="219" t="str">
        <f>IF(B1581&lt;&gt;"",IF(AND(B1581&gt;=_TM1,B1581&lt;=_TM2,OR(TH!L1581="1111",TH!M1581="1111")),TH!D1581,""),"")</f>
        <v/>
      </c>
      <c r="B1581" s="36" t="str">
        <f t="shared" si="59"/>
        <v/>
      </c>
      <c r="C1581" s="37"/>
      <c r="D1581" s="205"/>
      <c r="E1581" s="205"/>
      <c r="F1581" s="206"/>
      <c r="G1581" s="206"/>
      <c r="H1581" s="207"/>
      <c r="I1581" s="277"/>
      <c r="J1581" s="277"/>
      <c r="K1581" s="38"/>
      <c r="L1581" s="208"/>
      <c r="M1581" s="208"/>
      <c r="N1581" s="55" t="str">
        <f>IF(AND('331-CT'!$E$7=TH!H1581,OR(L1581="331",M1581="331")),"x","")</f>
        <v/>
      </c>
      <c r="O1581" s="55" t="str">
        <f>IF(AND($B1581&gt;='111'!$N$11,$B1581&lt;='111'!$O$11,OR($L1581=$O$7,$M1581=$O$7)),"x","")</f>
        <v/>
      </c>
      <c r="P1581" s="55" t="str">
        <f>IF(AND($L1581=$O$7,$B1581&lt;'111'!$N$11),"x","")</f>
        <v/>
      </c>
      <c r="Q1581" s="55" t="str">
        <f>IF(AND($M1581=$O$7,$B1581&lt;'111'!$N$11),"x","")</f>
        <v/>
      </c>
      <c r="R1581" s="55" t="str">
        <f>IF(ISERROR(FIND('112'!$M$9,G1581,1)),"",IF((AND(FIND('112'!$M$9,G1581,1)&gt;=1,$B1581&gt;='112'!$N$8,$B1581&lt;='112'!$O$8,OR($L1581='112'!$I$6,$M1581='112'!$I$6))),"x",""))</f>
        <v/>
      </c>
      <c r="S1581" s="55" t="str">
        <f>IF(ISERROR(FIND('112'!$M$9,G1581,1)),"",IF((AND(LEFT(G1581,2)=LEFT('112'!$M$9,2),B1581&lt;'112'!$N$8,$L1581='112'!$I$6)),"x",""))</f>
        <v/>
      </c>
      <c r="T1581" s="55" t="str">
        <f>IF(ISERROR(FIND('112'!$M$9,G1581,1)),"",IF((AND(RIGHT(G1581,2)=RIGHT('112'!$M$9,2),B1581&lt;'112'!$N$8,$M1581='112'!$I$6)),"x",""))</f>
        <v/>
      </c>
      <c r="U1581" s="55" t="str">
        <f>IF(AND('3411-CT'!$F$9=H1581,OR(LEFT(L1581,3)=$U$7,LEFT(M1581,3)=$U$7)),"x","")</f>
        <v/>
      </c>
      <c r="V1581" s="55" t="str">
        <f>IF(OR(TH!L1581=TH!$V$7,M1581=TH!$V$7),"x","")</f>
        <v/>
      </c>
      <c r="W1581" s="55" t="str">
        <f>IF(AND(OR(L1581="131",M1581="131"),H1581='131-CT'!$E$7),"x","")</f>
        <v/>
      </c>
      <c r="X1581" s="55" t="str">
        <f>IF(AND(B1581&gt;='IN-NX'!$P$3,B1581&lt;='IN-NX'!$Q$3,'IN-NX'!$D$7=D1581,OR(LEFT(TH!L1581,2)="15",LEFT(TH!M1581,2)="15")),"x","")</f>
        <v/>
      </c>
      <c r="Y1581" s="55" t="str">
        <f>IF(AND(OR(LEFT(TH!L1581,2)="15",LEFT(TH!M1581,2)="15"),'152-CT'!$J$8=TH!F1581),"x","")</f>
        <v/>
      </c>
      <c r="Z1581" s="55" t="str">
        <f>IF(AND(OR(LEFT(TH!L1581,2)="15",LEFT(TH!M1581,2)="15"),TK!$E$7=TH!F1581),"x","")</f>
        <v/>
      </c>
      <c r="AA1581" s="55" t="str">
        <f>IF(AND(B1581&lt;=NKC!$N$8,B1581&gt;=NKC!$M$8),"x","")</f>
        <v/>
      </c>
    </row>
    <row r="1582" spans="1:27" ht="15.75" customHeight="1">
      <c r="A1582" s="219" t="str">
        <f>IF(B1582&lt;&gt;"",IF(AND(B1582&gt;=_TM1,B1582&lt;=_TM2,OR(TH!L1582="1111",TH!M1582="1111")),TH!D1582,""),"")</f>
        <v/>
      </c>
      <c r="B1582" s="36" t="str">
        <f t="shared" si="59"/>
        <v/>
      </c>
      <c r="C1582" s="37"/>
      <c r="D1582" s="205"/>
      <c r="E1582" s="205"/>
      <c r="F1582" s="206"/>
      <c r="G1582" s="206"/>
      <c r="H1582" s="207"/>
      <c r="I1582" s="277"/>
      <c r="J1582" s="277"/>
      <c r="K1582" s="38"/>
      <c r="L1582" s="208"/>
      <c r="M1582" s="208"/>
      <c r="N1582" s="55" t="str">
        <f>IF(AND('331-CT'!$E$7=TH!H1582,OR(L1582="331",M1582="331")),"x","")</f>
        <v/>
      </c>
      <c r="O1582" s="55" t="str">
        <f>IF(AND($B1582&gt;='111'!$N$11,$B1582&lt;='111'!$O$11,OR($L1582=$O$7,$M1582=$O$7)),"x","")</f>
        <v/>
      </c>
      <c r="P1582" s="55" t="str">
        <f>IF(AND($L1582=$O$7,$B1582&lt;'111'!$N$11),"x","")</f>
        <v/>
      </c>
      <c r="Q1582" s="55" t="str">
        <f>IF(AND($M1582=$O$7,$B1582&lt;'111'!$N$11),"x","")</f>
        <v/>
      </c>
      <c r="R1582" s="55" t="str">
        <f>IF(ISERROR(FIND('112'!$M$9,G1582,1)),"",IF((AND(FIND('112'!$M$9,G1582,1)&gt;=1,$B1582&gt;='112'!$N$8,$B1582&lt;='112'!$O$8,OR($L1582='112'!$I$6,$M1582='112'!$I$6))),"x",""))</f>
        <v/>
      </c>
      <c r="S1582" s="55" t="str">
        <f>IF(ISERROR(FIND('112'!$M$9,G1582,1)),"",IF((AND(LEFT(G1582,2)=LEFT('112'!$M$9,2),B1582&lt;'112'!$N$8,$L1582='112'!$I$6)),"x",""))</f>
        <v/>
      </c>
      <c r="T1582" s="55" t="str">
        <f>IF(ISERROR(FIND('112'!$M$9,G1582,1)),"",IF((AND(RIGHT(G1582,2)=RIGHT('112'!$M$9,2),B1582&lt;'112'!$N$8,$M1582='112'!$I$6)),"x",""))</f>
        <v/>
      </c>
      <c r="U1582" s="55" t="str">
        <f>IF(AND('3411-CT'!$F$9=H1582,OR(LEFT(L1582,3)=$U$7,LEFT(M1582,3)=$U$7)),"x","")</f>
        <v/>
      </c>
      <c r="V1582" s="55" t="str">
        <f>IF(OR(TH!L1582=TH!$V$7,M1582=TH!$V$7),"x","")</f>
        <v/>
      </c>
      <c r="W1582" s="55" t="str">
        <f>IF(AND(OR(L1582="131",M1582="131"),H1582='131-CT'!$E$7),"x","")</f>
        <v/>
      </c>
      <c r="X1582" s="55" t="str">
        <f>IF(AND(B1582&gt;='IN-NX'!$P$3,B1582&lt;='IN-NX'!$Q$3,'IN-NX'!$D$7=D1582,OR(LEFT(TH!L1582,2)="15",LEFT(TH!M1582,2)="15")),"x","")</f>
        <v/>
      </c>
      <c r="Y1582" s="55" t="str">
        <f>IF(AND(OR(LEFT(TH!L1582,2)="15",LEFT(TH!M1582,2)="15"),'152-CT'!$J$8=TH!F1582),"x","")</f>
        <v/>
      </c>
      <c r="Z1582" s="55" t="str">
        <f>IF(AND(OR(LEFT(TH!L1582,2)="15",LEFT(TH!M1582,2)="15"),TK!$E$7=TH!F1582),"x","")</f>
        <v/>
      </c>
      <c r="AA1582" s="55" t="str">
        <f>IF(AND(B1582&lt;=NKC!$N$8,B1582&gt;=NKC!$M$8),"x","")</f>
        <v/>
      </c>
    </row>
    <row r="1583" spans="1:27" ht="15.75" customHeight="1">
      <c r="A1583" s="219" t="str">
        <f>IF(B1583&lt;&gt;"",IF(AND(B1583&gt;=_TM1,B1583&lt;=_TM2,OR(TH!L1583="1111",TH!M1583="1111")),TH!D1583,""),"")</f>
        <v/>
      </c>
      <c r="B1583" s="36" t="str">
        <f t="shared" si="59"/>
        <v/>
      </c>
      <c r="C1583" s="37"/>
      <c r="D1583" s="205"/>
      <c r="E1583" s="205"/>
      <c r="F1583" s="206"/>
      <c r="G1583" s="206"/>
      <c r="H1583" s="207"/>
      <c r="I1583" s="277"/>
      <c r="J1583" s="277"/>
      <c r="K1583" s="38"/>
      <c r="L1583" s="208"/>
      <c r="M1583" s="208"/>
      <c r="N1583" s="55" t="str">
        <f>IF(AND('331-CT'!$E$7=TH!H1583,OR(L1583="331",M1583="331")),"x","")</f>
        <v/>
      </c>
      <c r="O1583" s="55" t="str">
        <f>IF(AND($B1583&gt;='111'!$N$11,$B1583&lt;='111'!$O$11,OR($L1583=$O$7,$M1583=$O$7)),"x","")</f>
        <v/>
      </c>
      <c r="P1583" s="55" t="str">
        <f>IF(AND($L1583=$O$7,$B1583&lt;'111'!$N$11),"x","")</f>
        <v/>
      </c>
      <c r="Q1583" s="55" t="str">
        <f>IF(AND($M1583=$O$7,$B1583&lt;'111'!$N$11),"x","")</f>
        <v/>
      </c>
      <c r="R1583" s="55" t="str">
        <f>IF(ISERROR(FIND('112'!$M$9,G1583,1)),"",IF((AND(FIND('112'!$M$9,G1583,1)&gt;=1,$B1583&gt;='112'!$N$8,$B1583&lt;='112'!$O$8,OR($L1583='112'!$I$6,$M1583='112'!$I$6))),"x",""))</f>
        <v/>
      </c>
      <c r="S1583" s="55" t="str">
        <f>IF(ISERROR(FIND('112'!$M$9,G1583,1)),"",IF((AND(LEFT(G1583,2)=LEFT('112'!$M$9,2),B1583&lt;'112'!$N$8,$L1583='112'!$I$6)),"x",""))</f>
        <v/>
      </c>
      <c r="T1583" s="55" t="str">
        <f>IF(ISERROR(FIND('112'!$M$9,G1583,1)),"",IF((AND(RIGHT(G1583,2)=RIGHT('112'!$M$9,2),B1583&lt;'112'!$N$8,$M1583='112'!$I$6)),"x",""))</f>
        <v/>
      </c>
      <c r="U1583" s="55" t="str">
        <f>IF(AND('3411-CT'!$F$9=H1583,OR(LEFT(L1583,3)=$U$7,LEFT(M1583,3)=$U$7)),"x","")</f>
        <v/>
      </c>
      <c r="V1583" s="55" t="str">
        <f>IF(OR(TH!L1583=TH!$V$7,M1583=TH!$V$7),"x","")</f>
        <v/>
      </c>
      <c r="W1583" s="55" t="str">
        <f>IF(AND(OR(L1583="131",M1583="131"),H1583='131-CT'!$E$7),"x","")</f>
        <v/>
      </c>
      <c r="X1583" s="55" t="str">
        <f>IF(AND(B1583&gt;='IN-NX'!$P$3,B1583&lt;='IN-NX'!$Q$3,'IN-NX'!$D$7=D1583,OR(LEFT(TH!L1583,2)="15",LEFT(TH!M1583,2)="15")),"x","")</f>
        <v/>
      </c>
      <c r="Y1583" s="55" t="str">
        <f>IF(AND(OR(LEFT(TH!L1583,2)="15",LEFT(TH!M1583,2)="15"),'152-CT'!$J$8=TH!F1583),"x","")</f>
        <v/>
      </c>
      <c r="Z1583" s="55" t="str">
        <f>IF(AND(OR(LEFT(TH!L1583,2)="15",LEFT(TH!M1583,2)="15"),TK!$E$7=TH!F1583),"x","")</f>
        <v/>
      </c>
      <c r="AA1583" s="55" t="str">
        <f>IF(AND(B1583&lt;=NKC!$N$8,B1583&gt;=NKC!$M$8),"x","")</f>
        <v/>
      </c>
    </row>
    <row r="1584" spans="1:27" ht="15.75" customHeight="1">
      <c r="A1584" s="219" t="str">
        <f>IF(B1584&lt;&gt;"",IF(AND(B1584&gt;=_TM1,B1584&lt;=_TM2,OR(TH!L1584="1111",TH!M1584="1111")),TH!D1584,""),"")</f>
        <v/>
      </c>
      <c r="B1584" s="36" t="str">
        <f t="shared" si="59"/>
        <v/>
      </c>
      <c r="C1584" s="37"/>
      <c r="D1584" s="205"/>
      <c r="E1584" s="205"/>
      <c r="F1584" s="206"/>
      <c r="G1584" s="206"/>
      <c r="H1584" s="207"/>
      <c r="I1584" s="277"/>
      <c r="J1584" s="277"/>
      <c r="K1584" s="38"/>
      <c r="L1584" s="208"/>
      <c r="M1584" s="208"/>
      <c r="N1584" s="55" t="str">
        <f>IF(AND('331-CT'!$E$7=TH!H1584,OR(L1584="331",M1584="331")),"x","")</f>
        <v/>
      </c>
      <c r="O1584" s="55" t="str">
        <f>IF(AND($B1584&gt;='111'!$N$11,$B1584&lt;='111'!$O$11,OR($L1584=$O$7,$M1584=$O$7)),"x","")</f>
        <v/>
      </c>
      <c r="P1584" s="55" t="str">
        <f>IF(AND($L1584=$O$7,$B1584&lt;'111'!$N$11),"x","")</f>
        <v/>
      </c>
      <c r="Q1584" s="55" t="str">
        <f>IF(AND($M1584=$O$7,$B1584&lt;'111'!$N$11),"x","")</f>
        <v/>
      </c>
      <c r="R1584" s="55" t="str">
        <f>IF(ISERROR(FIND('112'!$M$9,G1584,1)),"",IF((AND(FIND('112'!$M$9,G1584,1)&gt;=1,$B1584&gt;='112'!$N$8,$B1584&lt;='112'!$O$8,OR($L1584='112'!$I$6,$M1584='112'!$I$6))),"x",""))</f>
        <v/>
      </c>
      <c r="S1584" s="55" t="str">
        <f>IF(ISERROR(FIND('112'!$M$9,G1584,1)),"",IF((AND(LEFT(G1584,2)=LEFT('112'!$M$9,2),B1584&lt;'112'!$N$8,$L1584='112'!$I$6)),"x",""))</f>
        <v/>
      </c>
      <c r="T1584" s="55" t="str">
        <f>IF(ISERROR(FIND('112'!$M$9,G1584,1)),"",IF((AND(RIGHT(G1584,2)=RIGHT('112'!$M$9,2),B1584&lt;'112'!$N$8,$M1584='112'!$I$6)),"x",""))</f>
        <v/>
      </c>
      <c r="U1584" s="55" t="str">
        <f>IF(AND('3411-CT'!$F$9=H1584,OR(LEFT(L1584,3)=$U$7,LEFT(M1584,3)=$U$7)),"x","")</f>
        <v/>
      </c>
      <c r="V1584" s="55" t="str">
        <f>IF(OR(TH!L1584=TH!$V$7,M1584=TH!$V$7),"x","")</f>
        <v/>
      </c>
      <c r="W1584" s="55" t="str">
        <f>IF(AND(OR(L1584="131",M1584="131"),H1584='131-CT'!$E$7),"x","")</f>
        <v/>
      </c>
      <c r="X1584" s="55" t="str">
        <f>IF(AND(B1584&gt;='IN-NX'!$P$3,B1584&lt;='IN-NX'!$Q$3,'IN-NX'!$D$7=D1584,OR(LEFT(TH!L1584,2)="15",LEFT(TH!M1584,2)="15")),"x","")</f>
        <v/>
      </c>
      <c r="Y1584" s="55" t="str">
        <f>IF(AND(OR(LEFT(TH!L1584,2)="15",LEFT(TH!M1584,2)="15"),'152-CT'!$J$8=TH!F1584),"x","")</f>
        <v/>
      </c>
      <c r="Z1584" s="55" t="str">
        <f>IF(AND(OR(LEFT(TH!L1584,2)="15",LEFT(TH!M1584,2)="15"),TK!$E$7=TH!F1584),"x","")</f>
        <v/>
      </c>
      <c r="AA1584" s="55" t="str">
        <f>IF(AND(B1584&lt;=NKC!$N$8,B1584&gt;=NKC!$M$8),"x","")</f>
        <v/>
      </c>
    </row>
    <row r="1585" spans="1:27" ht="15.75" customHeight="1">
      <c r="A1585" s="219" t="str">
        <f>IF(B1585&lt;&gt;"",IF(AND(B1585&gt;=_TM1,B1585&lt;=_TM2,OR(TH!L1585="1111",TH!M1585="1111")),TH!D1585,""),"")</f>
        <v/>
      </c>
      <c r="B1585" s="36" t="str">
        <f t="shared" si="59"/>
        <v/>
      </c>
      <c r="C1585" s="37"/>
      <c r="D1585" s="205"/>
      <c r="E1585" s="205"/>
      <c r="F1585" s="206"/>
      <c r="G1585" s="206"/>
      <c r="H1585" s="207"/>
      <c r="I1585" s="277"/>
      <c r="J1585" s="277"/>
      <c r="K1585" s="38"/>
      <c r="L1585" s="208"/>
      <c r="M1585" s="208"/>
      <c r="N1585" s="55" t="str">
        <f>IF(AND('331-CT'!$E$7=TH!H1585,OR(L1585="331",M1585="331")),"x","")</f>
        <v/>
      </c>
      <c r="O1585" s="55" t="str">
        <f>IF(AND($B1585&gt;='111'!$N$11,$B1585&lt;='111'!$O$11,OR($L1585=$O$7,$M1585=$O$7)),"x","")</f>
        <v/>
      </c>
      <c r="P1585" s="55" t="str">
        <f>IF(AND($L1585=$O$7,$B1585&lt;'111'!$N$11),"x","")</f>
        <v/>
      </c>
      <c r="Q1585" s="55" t="str">
        <f>IF(AND($M1585=$O$7,$B1585&lt;'111'!$N$11),"x","")</f>
        <v/>
      </c>
      <c r="R1585" s="55" t="str">
        <f>IF(ISERROR(FIND('112'!$M$9,G1585,1)),"",IF((AND(FIND('112'!$M$9,G1585,1)&gt;=1,$B1585&gt;='112'!$N$8,$B1585&lt;='112'!$O$8,OR($L1585='112'!$I$6,$M1585='112'!$I$6))),"x",""))</f>
        <v/>
      </c>
      <c r="S1585" s="55" t="str">
        <f>IF(ISERROR(FIND('112'!$M$9,G1585,1)),"",IF((AND(LEFT(G1585,2)=LEFT('112'!$M$9,2),B1585&lt;'112'!$N$8,$L1585='112'!$I$6)),"x",""))</f>
        <v/>
      </c>
      <c r="T1585" s="55" t="str">
        <f>IF(ISERROR(FIND('112'!$M$9,G1585,1)),"",IF((AND(RIGHT(G1585,2)=RIGHT('112'!$M$9,2),B1585&lt;'112'!$N$8,$M1585='112'!$I$6)),"x",""))</f>
        <v/>
      </c>
      <c r="U1585" s="55" t="str">
        <f>IF(AND('3411-CT'!$F$9=H1585,OR(LEFT(L1585,3)=$U$7,LEFT(M1585,3)=$U$7)),"x","")</f>
        <v/>
      </c>
      <c r="V1585" s="55" t="str">
        <f>IF(OR(TH!L1585=TH!$V$7,M1585=TH!$V$7),"x","")</f>
        <v/>
      </c>
      <c r="W1585" s="55" t="str">
        <f>IF(AND(OR(L1585="131",M1585="131"),H1585='131-CT'!$E$7),"x","")</f>
        <v/>
      </c>
      <c r="X1585" s="55" t="str">
        <f>IF(AND(B1585&gt;='IN-NX'!$P$3,B1585&lt;='IN-NX'!$Q$3,'IN-NX'!$D$7=D1585,OR(LEFT(TH!L1585,2)="15",LEFT(TH!M1585,2)="15")),"x","")</f>
        <v/>
      </c>
      <c r="Y1585" s="55" t="str">
        <f>IF(AND(OR(LEFT(TH!L1585,2)="15",LEFT(TH!M1585,2)="15"),'152-CT'!$J$8=TH!F1585),"x","")</f>
        <v/>
      </c>
      <c r="Z1585" s="55" t="str">
        <f>IF(AND(OR(LEFT(TH!L1585,2)="15",LEFT(TH!M1585,2)="15"),TK!$E$7=TH!F1585),"x","")</f>
        <v/>
      </c>
      <c r="AA1585" s="55" t="str">
        <f>IF(AND(B1585&lt;=NKC!$N$8,B1585&gt;=NKC!$M$8),"x","")</f>
        <v/>
      </c>
    </row>
    <row r="1586" spans="1:27" ht="15.75" customHeight="1">
      <c r="A1586" s="219" t="str">
        <f>IF(B1586&lt;&gt;"",IF(AND(B1586&gt;=_TM1,B1586&lt;=_TM2,OR(TH!L1586="1111",TH!M1586="1111")),TH!D1586,""),"")</f>
        <v/>
      </c>
      <c r="B1586" s="36" t="str">
        <f t="shared" si="59"/>
        <v/>
      </c>
      <c r="C1586" s="37"/>
      <c r="D1586" s="205"/>
      <c r="E1586" s="205"/>
      <c r="F1586" s="206"/>
      <c r="G1586" s="206"/>
      <c r="H1586" s="207"/>
      <c r="I1586" s="277"/>
      <c r="J1586" s="277"/>
      <c r="K1586" s="38"/>
      <c r="L1586" s="208"/>
      <c r="M1586" s="208"/>
      <c r="N1586" s="55" t="str">
        <f>IF(AND('331-CT'!$E$7=TH!H1586,OR(L1586="331",M1586="331")),"x","")</f>
        <v/>
      </c>
      <c r="O1586" s="55" t="str">
        <f>IF(AND($B1586&gt;='111'!$N$11,$B1586&lt;='111'!$O$11,OR($L1586=$O$7,$M1586=$O$7)),"x","")</f>
        <v/>
      </c>
      <c r="P1586" s="55" t="str">
        <f>IF(AND($L1586=$O$7,$B1586&lt;'111'!$N$11),"x","")</f>
        <v/>
      </c>
      <c r="Q1586" s="55" t="str">
        <f>IF(AND($M1586=$O$7,$B1586&lt;'111'!$N$11),"x","")</f>
        <v/>
      </c>
      <c r="R1586" s="55" t="str">
        <f>IF(ISERROR(FIND('112'!$M$9,G1586,1)),"",IF((AND(FIND('112'!$M$9,G1586,1)&gt;=1,$B1586&gt;='112'!$N$8,$B1586&lt;='112'!$O$8,OR($L1586='112'!$I$6,$M1586='112'!$I$6))),"x",""))</f>
        <v/>
      </c>
      <c r="S1586" s="55" t="str">
        <f>IF(ISERROR(FIND('112'!$M$9,G1586,1)),"",IF((AND(LEFT(G1586,2)=LEFT('112'!$M$9,2),B1586&lt;'112'!$N$8,$L1586='112'!$I$6)),"x",""))</f>
        <v/>
      </c>
      <c r="T1586" s="55" t="str">
        <f>IF(ISERROR(FIND('112'!$M$9,G1586,1)),"",IF((AND(RIGHT(G1586,2)=RIGHT('112'!$M$9,2),B1586&lt;'112'!$N$8,$M1586='112'!$I$6)),"x",""))</f>
        <v/>
      </c>
      <c r="U1586" s="55" t="str">
        <f>IF(AND('3411-CT'!$F$9=H1586,OR(LEFT(L1586,3)=$U$7,LEFT(M1586,3)=$U$7)),"x","")</f>
        <v/>
      </c>
      <c r="V1586" s="55" t="str">
        <f>IF(OR(TH!L1586=TH!$V$7,M1586=TH!$V$7),"x","")</f>
        <v/>
      </c>
      <c r="W1586" s="55" t="str">
        <f>IF(AND(OR(L1586="131",M1586="131"),H1586='131-CT'!$E$7),"x","")</f>
        <v/>
      </c>
      <c r="X1586" s="55" t="str">
        <f>IF(AND(B1586&gt;='IN-NX'!$P$3,B1586&lt;='IN-NX'!$Q$3,'IN-NX'!$D$7=D1586,OR(LEFT(TH!L1586,2)="15",LEFT(TH!M1586,2)="15")),"x","")</f>
        <v/>
      </c>
      <c r="Y1586" s="55" t="str">
        <f>IF(AND(OR(LEFT(TH!L1586,2)="15",LEFT(TH!M1586,2)="15"),'152-CT'!$J$8=TH!F1586),"x","")</f>
        <v/>
      </c>
      <c r="Z1586" s="55" t="str">
        <f>IF(AND(OR(LEFT(TH!L1586,2)="15",LEFT(TH!M1586,2)="15"),TK!$E$7=TH!F1586),"x","")</f>
        <v/>
      </c>
      <c r="AA1586" s="55" t="str">
        <f>IF(AND(B1586&lt;=NKC!$N$8,B1586&gt;=NKC!$M$8),"x","")</f>
        <v/>
      </c>
    </row>
    <row r="1587" spans="1:27" ht="15.75" customHeight="1">
      <c r="A1587" s="219" t="str">
        <f>IF(B1587&lt;&gt;"",IF(AND(B1587&gt;=_TM1,B1587&lt;=_TM2,OR(TH!L1587="1111",TH!M1587="1111")),TH!D1587,""),"")</f>
        <v/>
      </c>
      <c r="B1587" s="36" t="str">
        <f t="shared" si="59"/>
        <v/>
      </c>
      <c r="C1587" s="37"/>
      <c r="D1587" s="37"/>
      <c r="E1587" s="37"/>
      <c r="F1587" s="40"/>
      <c r="G1587" s="580"/>
      <c r="H1587" s="45"/>
      <c r="I1587" s="277"/>
      <c r="J1587" s="277"/>
      <c r="K1587" s="38"/>
      <c r="L1587" s="208"/>
      <c r="M1587" s="39"/>
      <c r="N1587" s="55" t="str">
        <f>IF(AND('331-CT'!$E$7=TH!H1587,OR(L1587="331",M1587="331")),"x","")</f>
        <v/>
      </c>
      <c r="O1587" s="55" t="str">
        <f>IF(AND($B1587&gt;='111'!$N$11,$B1587&lt;='111'!$O$11,OR($L1587=$O$7,$M1587=$O$7)),"x","")</f>
        <v/>
      </c>
      <c r="P1587" s="55" t="str">
        <f>IF(AND($L1587=$O$7,$B1587&lt;'111'!$N$11),"x","")</f>
        <v/>
      </c>
      <c r="Q1587" s="55" t="str">
        <f>IF(AND($M1587=$O$7,$B1587&lt;'111'!$N$11),"x","")</f>
        <v/>
      </c>
      <c r="R1587" s="55" t="str">
        <f>IF(ISERROR(FIND('112'!$M$9,G1587,1)),"",IF((AND(FIND('112'!$M$9,G1587,1)&gt;=1,$B1587&gt;='112'!$N$8,$B1587&lt;='112'!$O$8,OR($L1587='112'!$I$6,$M1587='112'!$I$6))),"x",""))</f>
        <v/>
      </c>
      <c r="S1587" s="55" t="str">
        <f>IF(ISERROR(FIND('112'!$M$9,G1587,1)),"",IF((AND(LEFT(G1587,2)=LEFT('112'!$M$9,2),B1587&lt;'112'!$N$8,$L1587='112'!$I$6)),"x",""))</f>
        <v/>
      </c>
      <c r="T1587" s="55" t="str">
        <f>IF(ISERROR(FIND('112'!$M$9,G1587,1)),"",IF((AND(RIGHT(G1587,2)=RIGHT('112'!$M$9,2),B1587&lt;'112'!$N$8,$M1587='112'!$I$6)),"x",""))</f>
        <v/>
      </c>
      <c r="U1587" s="55" t="str">
        <f>IF(AND('3411-CT'!$F$9=H1587,OR(LEFT(L1587,3)=$U$7,LEFT(M1587,3)=$U$7)),"x","")</f>
        <v/>
      </c>
      <c r="V1587" s="55" t="str">
        <f>IF(OR(TH!L1587=TH!$V$7,M1587=TH!$V$7),"x","")</f>
        <v/>
      </c>
      <c r="W1587" s="55" t="str">
        <f>IF(AND(OR(L1587="131",M1587="131"),H1587='131-CT'!$E$7),"x","")</f>
        <v/>
      </c>
      <c r="X1587" s="55" t="str">
        <f>IF(AND(B1587&gt;='IN-NX'!$P$3,B1587&lt;='IN-NX'!$Q$3,'IN-NX'!$D$7=D1587,OR(LEFT(TH!L1587,2)="15",LEFT(TH!M1587,2)="15")),"x","")</f>
        <v/>
      </c>
      <c r="Y1587" s="55" t="str">
        <f>IF(AND(OR(LEFT(TH!L1587,2)="15",LEFT(TH!M1587,2)="15"),'152-CT'!$J$8=TH!F1587),"x","")</f>
        <v/>
      </c>
      <c r="Z1587" s="55" t="str">
        <f>IF(AND(OR(LEFT(TH!L1587,2)="15",LEFT(TH!M1587,2)="15"),TK!$E$7=TH!F1587),"x","")</f>
        <v/>
      </c>
      <c r="AA1587" s="55" t="str">
        <f>IF(AND(B1587&lt;=NKC!$N$8,B1587&gt;=NKC!$M$8),"x","")</f>
        <v/>
      </c>
    </row>
    <row r="1588" spans="1:27" ht="15.75" customHeight="1">
      <c r="A1588" s="219" t="str">
        <f>IF(B1588&lt;&gt;"",IF(AND(B1588&gt;=_TM1,B1588&lt;=_TM2,OR(TH!L1588="1111",TH!M1588="1111")),TH!D1588,""),"")</f>
        <v/>
      </c>
      <c r="B1588" s="36" t="str">
        <f t="shared" ref="B1588:B1638" si="60">IF(C1588&lt;&gt;"",MONTH(C1588),"")</f>
        <v/>
      </c>
      <c r="C1588" s="37"/>
      <c r="D1588" s="37"/>
      <c r="E1588" s="37"/>
      <c r="F1588" s="40"/>
      <c r="G1588" s="580"/>
      <c r="H1588" s="45"/>
      <c r="I1588" s="277"/>
      <c r="J1588" s="277"/>
      <c r="K1588" s="38"/>
      <c r="L1588" s="208"/>
      <c r="M1588" s="39"/>
      <c r="N1588" s="55" t="str">
        <f>IF(AND('331-CT'!$E$7=TH!H1588,OR(L1588="331",M1588="331")),"x","")</f>
        <v/>
      </c>
      <c r="O1588" s="55" t="str">
        <f>IF(AND($B1588&gt;='111'!$N$11,$B1588&lt;='111'!$O$11,OR($L1588=$O$7,$M1588=$O$7)),"x","")</f>
        <v/>
      </c>
      <c r="P1588" s="55" t="str">
        <f>IF(AND($L1588=$O$7,$B1588&lt;'111'!$N$11),"x","")</f>
        <v/>
      </c>
      <c r="Q1588" s="55" t="str">
        <f>IF(AND($M1588=$O$7,$B1588&lt;'111'!$N$11),"x","")</f>
        <v/>
      </c>
      <c r="R1588" s="55" t="str">
        <f>IF(ISERROR(FIND('112'!$M$9,G1588,1)),"",IF((AND(FIND('112'!$M$9,G1588,1)&gt;=1,$B1588&gt;='112'!$N$8,$B1588&lt;='112'!$O$8,OR($L1588='112'!$I$6,$M1588='112'!$I$6))),"x",""))</f>
        <v/>
      </c>
      <c r="S1588" s="55" t="str">
        <f>IF(ISERROR(FIND('112'!$M$9,G1588,1)),"",IF((AND(LEFT(G1588,2)=LEFT('112'!$M$9,2),B1588&lt;'112'!$N$8,$L1588='112'!$I$6)),"x",""))</f>
        <v/>
      </c>
      <c r="T1588" s="55" t="str">
        <f>IF(ISERROR(FIND('112'!$M$9,G1588,1)),"",IF((AND(RIGHT(G1588,2)=RIGHT('112'!$M$9,2),B1588&lt;'112'!$N$8,$M1588='112'!$I$6)),"x",""))</f>
        <v/>
      </c>
      <c r="U1588" s="55" t="str">
        <f>IF(AND('3411-CT'!$F$9=H1588,OR(LEFT(L1588,3)=$U$7,LEFT(M1588,3)=$U$7)),"x","")</f>
        <v/>
      </c>
      <c r="V1588" s="55" t="str">
        <f>IF(OR(TH!L1588=TH!$V$7,M1588=TH!$V$7),"x","")</f>
        <v/>
      </c>
      <c r="W1588" s="55" t="str">
        <f>IF(AND(OR(L1588="131",M1588="131"),H1588='131-CT'!$E$7),"x","")</f>
        <v/>
      </c>
      <c r="X1588" s="55" t="str">
        <f>IF(AND(B1588&gt;='IN-NX'!$P$3,B1588&lt;='IN-NX'!$Q$3,'IN-NX'!$D$7=D1588,OR(LEFT(TH!L1588,2)="15",LEFT(TH!M1588,2)="15")),"x","")</f>
        <v/>
      </c>
      <c r="Y1588" s="55" t="str">
        <f>IF(AND(OR(LEFT(TH!L1588,2)="15",LEFT(TH!M1588,2)="15"),'152-CT'!$J$8=TH!F1588),"x","")</f>
        <v/>
      </c>
      <c r="Z1588" s="55" t="str">
        <f>IF(AND(OR(LEFT(TH!L1588,2)="15",LEFT(TH!M1588,2)="15"),TK!$E$7=TH!F1588),"x","")</f>
        <v/>
      </c>
      <c r="AA1588" s="55" t="str">
        <f>IF(AND(B1588&lt;=NKC!$N$8,B1588&gt;=NKC!$M$8),"x","")</f>
        <v/>
      </c>
    </row>
    <row r="1589" spans="1:27" ht="15.75" customHeight="1">
      <c r="A1589" s="219" t="str">
        <f>IF(B1589&lt;&gt;"",IF(AND(B1589&gt;=_TM1,B1589&lt;=_TM2,OR(TH!L1589="1111",TH!M1589="1111")),TH!D1589,""),"")</f>
        <v/>
      </c>
      <c r="B1589" s="36" t="str">
        <f t="shared" si="60"/>
        <v/>
      </c>
      <c r="C1589" s="37"/>
      <c r="D1589" s="205"/>
      <c r="E1589" s="205"/>
      <c r="F1589" s="40"/>
      <c r="G1589" s="40"/>
      <c r="H1589" s="45"/>
      <c r="I1589" s="277"/>
      <c r="J1589" s="277"/>
      <c r="K1589" s="38"/>
      <c r="L1589" s="39"/>
      <c r="M1589" s="39"/>
      <c r="N1589" s="55" t="str">
        <f>IF(AND('331-CT'!$E$7=TH!H1589,OR(L1589="331",M1589="331")),"x","")</f>
        <v/>
      </c>
      <c r="O1589" s="55" t="str">
        <f>IF(AND($B1589&gt;='111'!$N$11,$B1589&lt;='111'!$O$11,OR($L1589=$O$7,$M1589=$O$7)),"x","")</f>
        <v/>
      </c>
      <c r="P1589" s="55" t="str">
        <f>IF(AND($L1589=$O$7,$B1589&lt;'111'!$N$11),"x","")</f>
        <v/>
      </c>
      <c r="Q1589" s="55" t="str">
        <f>IF(AND($M1589=$O$7,$B1589&lt;'111'!$N$11),"x","")</f>
        <v/>
      </c>
      <c r="R1589" s="55" t="str">
        <f>IF(ISERROR(FIND('112'!$M$9,G1589,1)),"",IF((AND(FIND('112'!$M$9,G1589,1)&gt;=1,$B1589&gt;='112'!$N$8,$B1589&lt;='112'!$O$8,OR($L1589='112'!$I$6,$M1589='112'!$I$6))),"x",""))</f>
        <v/>
      </c>
      <c r="S1589" s="55" t="str">
        <f>IF(ISERROR(FIND('112'!$M$9,G1589,1)),"",IF((AND(LEFT(G1589,2)=LEFT('112'!$M$9,2),B1589&lt;'112'!$N$8,$L1589='112'!$I$6)),"x",""))</f>
        <v/>
      </c>
      <c r="T1589" s="55" t="str">
        <f>IF(ISERROR(FIND('112'!$M$9,G1589,1)),"",IF((AND(RIGHT(G1589,2)=RIGHT('112'!$M$9,2),B1589&lt;'112'!$N$8,$M1589='112'!$I$6)),"x",""))</f>
        <v/>
      </c>
      <c r="U1589" s="55" t="str">
        <f>IF(AND('3411-CT'!$F$9=H1589,OR(LEFT(L1589,3)=$U$7,LEFT(M1589,3)=$U$7)),"x","")</f>
        <v/>
      </c>
      <c r="V1589" s="55" t="str">
        <f>IF(OR(TH!L1589=TH!$V$7,M1589=TH!$V$7),"x","")</f>
        <v/>
      </c>
      <c r="W1589" s="55" t="str">
        <f>IF(AND(OR(L1589="131",M1589="131"),H1589='131-CT'!$E$7),"x","")</f>
        <v/>
      </c>
      <c r="X1589" s="55" t="str">
        <f>IF(AND(B1589&gt;='IN-NX'!$P$3,B1589&lt;='IN-NX'!$Q$3,'IN-NX'!$D$7=D1589,OR(LEFT(TH!L1589,2)="15",LEFT(TH!M1589,2)="15")),"x","")</f>
        <v/>
      </c>
      <c r="Y1589" s="55" t="str">
        <f>IF(AND(OR(LEFT(TH!L1589,2)="15",LEFT(TH!M1589,2)="15"),'152-CT'!$J$8=TH!F1589),"x","")</f>
        <v/>
      </c>
      <c r="Z1589" s="55" t="str">
        <f>IF(AND(OR(LEFT(TH!L1589,2)="15",LEFT(TH!M1589,2)="15"),TK!$E$7=TH!F1589),"x","")</f>
        <v/>
      </c>
      <c r="AA1589" s="55" t="str">
        <f>IF(AND(B1589&lt;=NKC!$N$8,B1589&gt;=NKC!$M$8),"x","")</f>
        <v/>
      </c>
    </row>
    <row r="1590" spans="1:27" ht="15.75" customHeight="1">
      <c r="A1590" s="219" t="str">
        <f>IF(B1590&lt;&gt;"",IF(AND(B1590&gt;=_TM1,B1590&lt;=_TM2,OR(TH!L1590="1111",TH!M1590="1111")),TH!D1590,""),"")</f>
        <v/>
      </c>
      <c r="B1590" s="36" t="str">
        <f t="shared" si="60"/>
        <v/>
      </c>
      <c r="C1590" s="37"/>
      <c r="D1590" s="37"/>
      <c r="E1590" s="37"/>
      <c r="F1590" s="40"/>
      <c r="G1590" s="580"/>
      <c r="H1590" s="45"/>
      <c r="I1590" s="277"/>
      <c r="J1590" s="277"/>
      <c r="K1590" s="38"/>
      <c r="L1590" s="39"/>
      <c r="M1590" s="39"/>
      <c r="N1590" s="55" t="str">
        <f>IF(AND('331-CT'!$E$7=TH!H1590,OR(L1590="331",M1590="331")),"x","")</f>
        <v/>
      </c>
      <c r="O1590" s="55" t="str">
        <f>IF(AND($B1590&gt;='111'!$N$11,$B1590&lt;='111'!$O$11,OR($L1590=$O$7,$M1590=$O$7)),"x","")</f>
        <v/>
      </c>
      <c r="P1590" s="55" t="str">
        <f>IF(AND($L1590=$O$7,$B1590&lt;'111'!$N$11),"x","")</f>
        <v/>
      </c>
      <c r="Q1590" s="55" t="str">
        <f>IF(AND($M1590=$O$7,$B1590&lt;'111'!$N$11),"x","")</f>
        <v/>
      </c>
      <c r="R1590" s="55" t="str">
        <f>IF(ISERROR(FIND('112'!$M$9,G1590,1)),"",IF((AND(FIND('112'!$M$9,G1590,1)&gt;=1,$B1590&gt;='112'!$N$8,$B1590&lt;='112'!$O$8,OR($L1590='112'!$I$6,$M1590='112'!$I$6))),"x",""))</f>
        <v/>
      </c>
      <c r="S1590" s="55" t="str">
        <f>IF(ISERROR(FIND('112'!$M$9,G1590,1)),"",IF((AND(LEFT(G1590,2)=LEFT('112'!$M$9,2),B1590&lt;'112'!$N$8,$L1590='112'!$I$6)),"x",""))</f>
        <v/>
      </c>
      <c r="T1590" s="55" t="str">
        <f>IF(ISERROR(FIND('112'!$M$9,G1590,1)),"",IF((AND(RIGHT(G1590,2)=RIGHT('112'!$M$9,2),B1590&lt;'112'!$N$8,$M1590='112'!$I$6)),"x",""))</f>
        <v/>
      </c>
      <c r="U1590" s="55" t="str">
        <f>IF(AND('3411-CT'!$F$9=H1590,OR(LEFT(L1590,3)=$U$7,LEFT(M1590,3)=$U$7)),"x","")</f>
        <v/>
      </c>
      <c r="V1590" s="55" t="str">
        <f>IF(OR(TH!L1590=TH!$V$7,M1590=TH!$V$7),"x","")</f>
        <v/>
      </c>
      <c r="W1590" s="55" t="str">
        <f>IF(AND(OR(L1590="131",M1590="131"),H1590='131-CT'!$E$7),"x","")</f>
        <v/>
      </c>
      <c r="X1590" s="55" t="str">
        <f>IF(AND(B1590&gt;='IN-NX'!$P$3,B1590&lt;='IN-NX'!$Q$3,'IN-NX'!$D$7=D1590,OR(LEFT(TH!L1590,2)="15",LEFT(TH!M1590,2)="15")),"x","")</f>
        <v/>
      </c>
      <c r="Y1590" s="55" t="str">
        <f>IF(AND(OR(LEFT(TH!L1590,2)="15",LEFT(TH!M1590,2)="15"),'152-CT'!$J$8=TH!F1590),"x","")</f>
        <v/>
      </c>
      <c r="Z1590" s="55" t="str">
        <f>IF(AND(OR(LEFT(TH!L1590,2)="15",LEFT(TH!M1590,2)="15"),TK!$E$7=TH!F1590),"x","")</f>
        <v/>
      </c>
      <c r="AA1590" s="55" t="str">
        <f>IF(AND(B1590&lt;=NKC!$N$8,B1590&gt;=NKC!$M$8),"x","")</f>
        <v/>
      </c>
    </row>
    <row r="1591" spans="1:27" ht="15.75" customHeight="1">
      <c r="A1591" s="219" t="str">
        <f>IF(B1591&lt;&gt;"",IF(AND(B1591&gt;=_TM1,B1591&lt;=_TM2,OR(TH!L1591="1111",TH!M1591="1111")),TH!D1591,""),"")</f>
        <v/>
      </c>
      <c r="B1591" s="36" t="str">
        <f t="shared" si="60"/>
        <v/>
      </c>
      <c r="C1591" s="37"/>
      <c r="D1591" s="37"/>
      <c r="E1591" s="37"/>
      <c r="F1591" s="40"/>
      <c r="G1591" s="580"/>
      <c r="H1591" s="45"/>
      <c r="I1591" s="277"/>
      <c r="J1591" s="277"/>
      <c r="K1591" s="38"/>
      <c r="L1591" s="39"/>
      <c r="M1591" s="39"/>
      <c r="N1591" s="55" t="str">
        <f>IF(AND('331-CT'!$E$7=TH!H1591,OR(L1591="331",M1591="331")),"x","")</f>
        <v/>
      </c>
      <c r="O1591" s="55" t="str">
        <f>IF(AND($B1591&gt;='111'!$N$11,$B1591&lt;='111'!$O$11,OR($L1591=$O$7,$M1591=$O$7)),"x","")</f>
        <v/>
      </c>
      <c r="P1591" s="55" t="str">
        <f>IF(AND($L1591=$O$7,$B1591&lt;'111'!$N$11),"x","")</f>
        <v/>
      </c>
      <c r="Q1591" s="55" t="str">
        <f>IF(AND($M1591=$O$7,$B1591&lt;'111'!$N$11),"x","")</f>
        <v/>
      </c>
      <c r="R1591" s="55" t="str">
        <f>IF(ISERROR(FIND('112'!$M$9,G1591,1)),"",IF((AND(FIND('112'!$M$9,G1591,1)&gt;=1,$B1591&gt;='112'!$N$8,$B1591&lt;='112'!$O$8,OR($L1591='112'!$I$6,$M1591='112'!$I$6))),"x",""))</f>
        <v/>
      </c>
      <c r="S1591" s="55" t="str">
        <f>IF(ISERROR(FIND('112'!$M$9,G1591,1)),"",IF((AND(LEFT(G1591,2)=LEFT('112'!$M$9,2),B1591&lt;'112'!$N$8,$L1591='112'!$I$6)),"x",""))</f>
        <v/>
      </c>
      <c r="T1591" s="55" t="str">
        <f>IF(ISERROR(FIND('112'!$M$9,G1591,1)),"",IF((AND(RIGHT(G1591,2)=RIGHT('112'!$M$9,2),B1591&lt;'112'!$N$8,$M1591='112'!$I$6)),"x",""))</f>
        <v/>
      </c>
      <c r="U1591" s="55" t="str">
        <f>IF(AND('3411-CT'!$F$9=H1591,OR(LEFT(L1591,3)=$U$7,LEFT(M1591,3)=$U$7)),"x","")</f>
        <v/>
      </c>
      <c r="V1591" s="55" t="str">
        <f>IF(OR(TH!L1591=TH!$V$7,M1591=TH!$V$7),"x","")</f>
        <v/>
      </c>
      <c r="W1591" s="55" t="str">
        <f>IF(AND(OR(L1591="131",M1591="131"),H1591='131-CT'!$E$7),"x","")</f>
        <v/>
      </c>
      <c r="X1591" s="55" t="str">
        <f>IF(AND(B1591&gt;='IN-NX'!$P$3,B1591&lt;='IN-NX'!$Q$3,'IN-NX'!$D$7=D1591,OR(LEFT(TH!L1591,2)="15",LEFT(TH!M1591,2)="15")),"x","")</f>
        <v/>
      </c>
      <c r="Y1591" s="55" t="str">
        <f>IF(AND(OR(LEFT(TH!L1591,2)="15",LEFT(TH!M1591,2)="15"),'152-CT'!$J$8=TH!F1591),"x","")</f>
        <v/>
      </c>
      <c r="Z1591" s="55" t="str">
        <f>IF(AND(OR(LEFT(TH!L1591,2)="15",LEFT(TH!M1591,2)="15"),TK!$E$7=TH!F1591),"x","")</f>
        <v/>
      </c>
      <c r="AA1591" s="55" t="str">
        <f>IF(AND(B1591&lt;=NKC!$N$8,B1591&gt;=NKC!$M$8),"x","")</f>
        <v/>
      </c>
    </row>
    <row r="1592" spans="1:27" ht="15.75" customHeight="1">
      <c r="A1592" s="219" t="str">
        <f>IF(B1592&lt;&gt;"",IF(AND(B1592&gt;=_TM1,B1592&lt;=_TM2,OR(TH!L1592="1111",TH!M1592="1111")),TH!D1592,""),"")</f>
        <v/>
      </c>
      <c r="B1592" s="36" t="str">
        <f t="shared" si="60"/>
        <v/>
      </c>
      <c r="C1592" s="37"/>
      <c r="D1592" s="37"/>
      <c r="E1592" s="37"/>
      <c r="F1592" s="40"/>
      <c r="G1592" s="40"/>
      <c r="H1592" s="45"/>
      <c r="I1592" s="277"/>
      <c r="J1592" s="277"/>
      <c r="K1592" s="38"/>
      <c r="L1592" s="39"/>
      <c r="M1592" s="39"/>
      <c r="N1592" s="55" t="str">
        <f>IF(AND('331-CT'!$E$7=TH!H1592,OR(L1592="331",M1592="331")),"x","")</f>
        <v/>
      </c>
      <c r="O1592" s="55" t="str">
        <f>IF(AND($B1592&gt;='111'!$N$11,$B1592&lt;='111'!$O$11,OR($L1592=$O$7,$M1592=$O$7)),"x","")</f>
        <v/>
      </c>
      <c r="P1592" s="55" t="str">
        <f>IF(AND($L1592=$O$7,$B1592&lt;'111'!$N$11),"x","")</f>
        <v/>
      </c>
      <c r="Q1592" s="55" t="str">
        <f>IF(AND($M1592=$O$7,$B1592&lt;'111'!$N$11),"x","")</f>
        <v/>
      </c>
      <c r="R1592" s="55" t="str">
        <f>IF(ISERROR(FIND('112'!$M$9,G1592,1)),"",IF((AND(FIND('112'!$M$9,G1592,1)&gt;=1,$B1592&gt;='112'!$N$8,$B1592&lt;='112'!$O$8,OR($L1592='112'!$I$6,$M1592='112'!$I$6))),"x",""))</f>
        <v/>
      </c>
      <c r="S1592" s="55" t="str">
        <f>IF(ISERROR(FIND('112'!$M$9,G1592,1)),"",IF((AND(LEFT(G1592,2)=LEFT('112'!$M$9,2),B1592&lt;'112'!$N$8,$L1592='112'!$I$6)),"x",""))</f>
        <v/>
      </c>
      <c r="T1592" s="55" t="str">
        <f>IF(ISERROR(FIND('112'!$M$9,G1592,1)),"",IF((AND(RIGHT(G1592,2)=RIGHT('112'!$M$9,2),B1592&lt;'112'!$N$8,$M1592='112'!$I$6)),"x",""))</f>
        <v/>
      </c>
      <c r="U1592" s="55" t="str">
        <f>IF(AND('3411-CT'!$F$9=H1592,OR(LEFT(L1592,3)=$U$7,LEFT(M1592,3)=$U$7)),"x","")</f>
        <v/>
      </c>
      <c r="V1592" s="55" t="str">
        <f>IF(OR(TH!L1592=TH!$V$7,M1592=TH!$V$7),"x","")</f>
        <v/>
      </c>
      <c r="W1592" s="55" t="str">
        <f>IF(AND(OR(L1592="131",M1592="131"),H1592='131-CT'!$E$7),"x","")</f>
        <v/>
      </c>
      <c r="X1592" s="55" t="str">
        <f>IF(AND(B1592&gt;='IN-NX'!$P$3,B1592&lt;='IN-NX'!$Q$3,'IN-NX'!$D$7=D1592,OR(LEFT(TH!L1592,2)="15",LEFT(TH!M1592,2)="15")),"x","")</f>
        <v/>
      </c>
      <c r="Y1592" s="55" t="str">
        <f>IF(AND(OR(LEFT(TH!L1592,2)="15",LEFT(TH!M1592,2)="15"),'152-CT'!$J$8=TH!F1592),"x","")</f>
        <v/>
      </c>
      <c r="Z1592" s="55" t="str">
        <f>IF(AND(OR(LEFT(TH!L1592,2)="15",LEFT(TH!M1592,2)="15"),TK!$E$7=TH!F1592),"x","")</f>
        <v/>
      </c>
      <c r="AA1592" s="55" t="str">
        <f>IF(AND(B1592&lt;=NKC!$N$8,B1592&gt;=NKC!$M$8),"x","")</f>
        <v/>
      </c>
    </row>
    <row r="1593" spans="1:27" ht="15.75" customHeight="1">
      <c r="A1593" s="219" t="str">
        <f>IF(B1593&lt;&gt;"",IF(AND(B1593&gt;=_TM1,B1593&lt;=_TM2,OR(TH!L1593="1111",TH!M1593="1111")),TH!D1593,""),"")</f>
        <v/>
      </c>
      <c r="B1593" s="36" t="str">
        <f t="shared" si="60"/>
        <v/>
      </c>
      <c r="C1593" s="37"/>
      <c r="D1593" s="37"/>
      <c r="E1593" s="37"/>
      <c r="F1593" s="40"/>
      <c r="G1593" s="40"/>
      <c r="H1593" s="45"/>
      <c r="I1593" s="277"/>
      <c r="J1593" s="277"/>
      <c r="K1593" s="38"/>
      <c r="L1593" s="39"/>
      <c r="M1593" s="39"/>
      <c r="N1593" s="55" t="str">
        <f>IF(AND('331-CT'!$E$7=TH!H1593,OR(L1593="331",M1593="331")),"x","")</f>
        <v/>
      </c>
      <c r="O1593" s="55" t="str">
        <f>IF(AND($B1593&gt;='111'!$N$11,$B1593&lt;='111'!$O$11,OR($L1593=$O$7,$M1593=$O$7)),"x","")</f>
        <v/>
      </c>
      <c r="P1593" s="55" t="str">
        <f>IF(AND($L1593=$O$7,$B1593&lt;'111'!$N$11),"x","")</f>
        <v/>
      </c>
      <c r="Q1593" s="55" t="str">
        <f>IF(AND($M1593=$O$7,$B1593&lt;'111'!$N$11),"x","")</f>
        <v/>
      </c>
      <c r="R1593" s="55" t="str">
        <f>IF(ISERROR(FIND('112'!$M$9,G1593,1)),"",IF((AND(FIND('112'!$M$9,G1593,1)&gt;=1,$B1593&gt;='112'!$N$8,$B1593&lt;='112'!$O$8,OR($L1593='112'!$I$6,$M1593='112'!$I$6))),"x",""))</f>
        <v/>
      </c>
      <c r="S1593" s="55" t="str">
        <f>IF(ISERROR(FIND('112'!$M$9,G1593,1)),"",IF((AND(LEFT(G1593,2)=LEFT('112'!$M$9,2),B1593&lt;'112'!$N$8,$L1593='112'!$I$6)),"x",""))</f>
        <v/>
      </c>
      <c r="T1593" s="55" t="str">
        <f>IF(ISERROR(FIND('112'!$M$9,G1593,1)),"",IF((AND(RIGHT(G1593,2)=RIGHT('112'!$M$9,2),B1593&lt;'112'!$N$8,$M1593='112'!$I$6)),"x",""))</f>
        <v/>
      </c>
      <c r="U1593" s="55" t="str">
        <f>IF(AND('3411-CT'!$F$9=H1593,OR(LEFT(L1593,3)=$U$7,LEFT(M1593,3)=$U$7)),"x","")</f>
        <v/>
      </c>
      <c r="V1593" s="55" t="str">
        <f>IF(OR(TH!L1593=TH!$V$7,M1593=TH!$V$7),"x","")</f>
        <v/>
      </c>
      <c r="W1593" s="55" t="str">
        <f>IF(AND(OR(L1593="131",M1593="131"),H1593='131-CT'!$E$7),"x","")</f>
        <v/>
      </c>
      <c r="X1593" s="55" t="str">
        <f>IF(AND(B1593&gt;='IN-NX'!$P$3,B1593&lt;='IN-NX'!$Q$3,'IN-NX'!$D$7=D1593,OR(LEFT(TH!L1593,2)="15",LEFT(TH!M1593,2)="15")),"x","")</f>
        <v/>
      </c>
      <c r="Y1593" s="55" t="str">
        <f>IF(AND(OR(LEFT(TH!L1593,2)="15",LEFT(TH!M1593,2)="15"),'152-CT'!$J$8=TH!F1593),"x","")</f>
        <v/>
      </c>
      <c r="Z1593" s="55" t="str">
        <f>IF(AND(OR(LEFT(TH!L1593,2)="15",LEFT(TH!M1593,2)="15"),TK!$E$7=TH!F1593),"x","")</f>
        <v/>
      </c>
      <c r="AA1593" s="55" t="str">
        <f>IF(AND(B1593&lt;=NKC!$N$8,B1593&gt;=NKC!$M$8),"x","")</f>
        <v/>
      </c>
    </row>
    <row r="1594" spans="1:27" ht="15.75" customHeight="1">
      <c r="A1594" s="219" t="str">
        <f>IF(B1594&lt;&gt;"",IF(AND(B1594&gt;=_TM1,B1594&lt;=_TM2,OR(TH!L1594="1111",TH!M1594="1111")),TH!D1594,""),"")</f>
        <v/>
      </c>
      <c r="B1594" s="36" t="str">
        <f t="shared" si="60"/>
        <v/>
      </c>
      <c r="C1594" s="37"/>
      <c r="D1594" s="37"/>
      <c r="E1594" s="37"/>
      <c r="F1594" s="40"/>
      <c r="G1594" s="40"/>
      <c r="H1594" s="45"/>
      <c r="I1594" s="277"/>
      <c r="J1594" s="277"/>
      <c r="K1594" s="38"/>
      <c r="L1594" s="39"/>
      <c r="M1594" s="39"/>
      <c r="N1594" s="55" t="str">
        <f>IF(AND('331-CT'!$E$7=TH!H1594,OR(L1594="331",M1594="331")),"x","")</f>
        <v/>
      </c>
      <c r="O1594" s="55" t="str">
        <f>IF(AND($B1594&gt;='111'!$N$11,$B1594&lt;='111'!$O$11,OR($L1594=$O$7,$M1594=$O$7)),"x","")</f>
        <v/>
      </c>
      <c r="P1594" s="55" t="str">
        <f>IF(AND($L1594=$O$7,$B1594&lt;'111'!$N$11),"x","")</f>
        <v/>
      </c>
      <c r="Q1594" s="55" t="str">
        <f>IF(AND($M1594=$O$7,$B1594&lt;'111'!$N$11),"x","")</f>
        <v/>
      </c>
      <c r="R1594" s="55" t="str">
        <f>IF(ISERROR(FIND('112'!$M$9,G1594,1)),"",IF((AND(FIND('112'!$M$9,G1594,1)&gt;=1,$B1594&gt;='112'!$N$8,$B1594&lt;='112'!$O$8,OR($L1594='112'!$I$6,$M1594='112'!$I$6))),"x",""))</f>
        <v/>
      </c>
      <c r="S1594" s="55" t="str">
        <f>IF(ISERROR(FIND('112'!$M$9,G1594,1)),"",IF((AND(LEFT(G1594,2)=LEFT('112'!$M$9,2),B1594&lt;'112'!$N$8,$L1594='112'!$I$6)),"x",""))</f>
        <v/>
      </c>
      <c r="T1594" s="55" t="str">
        <f>IF(ISERROR(FIND('112'!$M$9,G1594,1)),"",IF((AND(RIGHT(G1594,2)=RIGHT('112'!$M$9,2),B1594&lt;'112'!$N$8,$M1594='112'!$I$6)),"x",""))</f>
        <v/>
      </c>
      <c r="U1594" s="55" t="str">
        <f>IF(AND('3411-CT'!$F$9=H1594,OR(LEFT(L1594,3)=$U$7,LEFT(M1594,3)=$U$7)),"x","")</f>
        <v/>
      </c>
      <c r="V1594" s="55" t="str">
        <f>IF(OR(TH!L1594=TH!$V$7,M1594=TH!$V$7),"x","")</f>
        <v/>
      </c>
      <c r="W1594" s="55" t="str">
        <f>IF(AND(OR(L1594="131",M1594="131"),H1594='131-CT'!$E$7),"x","")</f>
        <v/>
      </c>
      <c r="X1594" s="55" t="str">
        <f>IF(AND(B1594&gt;='IN-NX'!$P$3,B1594&lt;='IN-NX'!$Q$3,'IN-NX'!$D$7=D1594,OR(LEFT(TH!L1594,2)="15",LEFT(TH!M1594,2)="15")),"x","")</f>
        <v/>
      </c>
      <c r="Y1594" s="55" t="str">
        <f>IF(AND(OR(LEFT(TH!L1594,2)="15",LEFT(TH!M1594,2)="15"),'152-CT'!$J$8=TH!F1594),"x","")</f>
        <v/>
      </c>
      <c r="Z1594" s="55" t="str">
        <f>IF(AND(OR(LEFT(TH!L1594,2)="15",LEFT(TH!M1594,2)="15"),TK!$E$7=TH!F1594),"x","")</f>
        <v/>
      </c>
      <c r="AA1594" s="55" t="str">
        <f>IF(AND(B1594&lt;=NKC!$N$8,B1594&gt;=NKC!$M$8),"x","")</f>
        <v/>
      </c>
    </row>
    <row r="1595" spans="1:27" ht="15.75" customHeight="1">
      <c r="A1595" s="219" t="str">
        <f>IF(B1595&lt;&gt;"",IF(AND(B1595&gt;=_TM1,B1595&lt;=_TM2,OR(TH!L1595="1111",TH!M1595="1111")),TH!D1595,""),"")</f>
        <v/>
      </c>
      <c r="B1595" s="36" t="str">
        <f t="shared" si="60"/>
        <v/>
      </c>
      <c r="C1595" s="37"/>
      <c r="D1595" s="37"/>
      <c r="E1595" s="37"/>
      <c r="F1595" s="40"/>
      <c r="G1595" s="40"/>
      <c r="H1595" s="45"/>
      <c r="I1595" s="277"/>
      <c r="J1595" s="277"/>
      <c r="K1595" s="38"/>
      <c r="L1595" s="39"/>
      <c r="M1595" s="39"/>
      <c r="N1595" s="55" t="str">
        <f>IF(AND('331-CT'!$E$7=TH!H1595,OR(L1595="331",M1595="331")),"x","")</f>
        <v/>
      </c>
      <c r="O1595" s="55" t="str">
        <f>IF(AND($B1595&gt;='111'!$N$11,$B1595&lt;='111'!$O$11,OR($L1595=$O$7,$M1595=$O$7)),"x","")</f>
        <v/>
      </c>
      <c r="P1595" s="55" t="str">
        <f>IF(AND($L1595=$O$7,$B1595&lt;'111'!$N$11),"x","")</f>
        <v/>
      </c>
      <c r="Q1595" s="55" t="str">
        <f>IF(AND($M1595=$O$7,$B1595&lt;'111'!$N$11),"x","")</f>
        <v/>
      </c>
      <c r="R1595" s="55" t="str">
        <f>IF(ISERROR(FIND('112'!$M$9,G1595,1)),"",IF((AND(FIND('112'!$M$9,G1595,1)&gt;=1,$B1595&gt;='112'!$N$8,$B1595&lt;='112'!$O$8,OR($L1595='112'!$I$6,$M1595='112'!$I$6))),"x",""))</f>
        <v/>
      </c>
      <c r="S1595" s="55" t="str">
        <f>IF(ISERROR(FIND('112'!$M$9,G1595,1)),"",IF((AND(LEFT(G1595,2)=LEFT('112'!$M$9,2),B1595&lt;'112'!$N$8,$L1595='112'!$I$6)),"x",""))</f>
        <v/>
      </c>
      <c r="T1595" s="55" t="str">
        <f>IF(ISERROR(FIND('112'!$M$9,G1595,1)),"",IF((AND(RIGHT(G1595,2)=RIGHT('112'!$M$9,2),B1595&lt;'112'!$N$8,$M1595='112'!$I$6)),"x",""))</f>
        <v/>
      </c>
      <c r="U1595" s="55" t="str">
        <f>IF(AND('3411-CT'!$F$9=H1595,OR(LEFT(L1595,3)=$U$7,LEFT(M1595,3)=$U$7)),"x","")</f>
        <v/>
      </c>
      <c r="V1595" s="55" t="str">
        <f>IF(OR(TH!L1595=TH!$V$7,M1595=TH!$V$7),"x","")</f>
        <v/>
      </c>
      <c r="W1595" s="55" t="str">
        <f>IF(AND(OR(L1595="131",M1595="131"),H1595='131-CT'!$E$7),"x","")</f>
        <v/>
      </c>
      <c r="X1595" s="55" t="str">
        <f>IF(AND(B1595&gt;='IN-NX'!$P$3,B1595&lt;='IN-NX'!$Q$3,'IN-NX'!$D$7=D1595,OR(LEFT(TH!L1595,2)="15",LEFT(TH!M1595,2)="15")),"x","")</f>
        <v/>
      </c>
      <c r="Y1595" s="55" t="str">
        <f>IF(AND(OR(LEFT(TH!L1595,2)="15",LEFT(TH!M1595,2)="15"),'152-CT'!$J$8=TH!F1595),"x","")</f>
        <v/>
      </c>
      <c r="Z1595" s="55" t="str">
        <f>IF(AND(OR(LEFT(TH!L1595,2)="15",LEFT(TH!M1595,2)="15"),TK!$E$7=TH!F1595),"x","")</f>
        <v/>
      </c>
      <c r="AA1595" s="55" t="str">
        <f>IF(AND(B1595&lt;=NKC!$N$8,B1595&gt;=NKC!$M$8),"x","")</f>
        <v/>
      </c>
    </row>
    <row r="1596" spans="1:27" ht="15.75" customHeight="1">
      <c r="A1596" s="219" t="str">
        <f>IF(B1596&lt;&gt;"",IF(AND(B1596&gt;=_TM1,B1596&lt;=_TM2,OR(TH!L1596="1111",TH!M1596="1111")),TH!D1596,""),"")</f>
        <v/>
      </c>
      <c r="B1596" s="36" t="str">
        <f t="shared" si="60"/>
        <v/>
      </c>
      <c r="C1596" s="37"/>
      <c r="D1596" s="37"/>
      <c r="E1596" s="37"/>
      <c r="F1596" s="40"/>
      <c r="G1596" s="40"/>
      <c r="H1596" s="45"/>
      <c r="I1596" s="277"/>
      <c r="J1596" s="277"/>
      <c r="K1596" s="38"/>
      <c r="L1596" s="39"/>
      <c r="M1596" s="39"/>
      <c r="N1596" s="55" t="str">
        <f>IF(AND('331-CT'!$E$7=TH!H1596,OR(L1596="331",M1596="331")),"x","")</f>
        <v/>
      </c>
      <c r="O1596" s="55" t="str">
        <f>IF(AND($B1596&gt;='111'!$N$11,$B1596&lt;='111'!$O$11,OR($L1596=$O$7,$M1596=$O$7)),"x","")</f>
        <v/>
      </c>
      <c r="P1596" s="55" t="str">
        <f>IF(AND($L1596=$O$7,$B1596&lt;'111'!$N$11),"x","")</f>
        <v/>
      </c>
      <c r="Q1596" s="55" t="str">
        <f>IF(AND($M1596=$O$7,$B1596&lt;'111'!$N$11),"x","")</f>
        <v/>
      </c>
      <c r="R1596" s="55" t="str">
        <f>IF(ISERROR(FIND('112'!$M$9,G1596,1)),"",IF((AND(FIND('112'!$M$9,G1596,1)&gt;=1,$B1596&gt;='112'!$N$8,$B1596&lt;='112'!$O$8,OR($L1596='112'!$I$6,$M1596='112'!$I$6))),"x",""))</f>
        <v/>
      </c>
      <c r="S1596" s="55" t="str">
        <f>IF(ISERROR(FIND('112'!$M$9,G1596,1)),"",IF((AND(LEFT(G1596,2)=LEFT('112'!$M$9,2),B1596&lt;'112'!$N$8,$L1596='112'!$I$6)),"x",""))</f>
        <v/>
      </c>
      <c r="T1596" s="55" t="str">
        <f>IF(ISERROR(FIND('112'!$M$9,G1596,1)),"",IF((AND(RIGHT(G1596,2)=RIGHT('112'!$M$9,2),B1596&lt;'112'!$N$8,$M1596='112'!$I$6)),"x",""))</f>
        <v/>
      </c>
      <c r="U1596" s="55" t="str">
        <f>IF(AND('3411-CT'!$F$9=H1596,OR(LEFT(L1596,3)=$U$7,LEFT(M1596,3)=$U$7)),"x","")</f>
        <v/>
      </c>
      <c r="V1596" s="55" t="str">
        <f>IF(OR(TH!L1596=TH!$V$7,M1596=TH!$V$7),"x","")</f>
        <v/>
      </c>
      <c r="W1596" s="55" t="str">
        <f>IF(AND(OR(L1596="131",M1596="131"),H1596='131-CT'!$E$7),"x","")</f>
        <v/>
      </c>
      <c r="X1596" s="55" t="str">
        <f>IF(AND(B1596&gt;='IN-NX'!$P$3,B1596&lt;='IN-NX'!$Q$3,'IN-NX'!$D$7=D1596,OR(LEFT(TH!L1596,2)="15",LEFT(TH!M1596,2)="15")),"x","")</f>
        <v/>
      </c>
      <c r="Y1596" s="55" t="str">
        <f>IF(AND(OR(LEFT(TH!L1596,2)="15",LEFT(TH!M1596,2)="15"),'152-CT'!$J$8=TH!F1596),"x","")</f>
        <v/>
      </c>
      <c r="Z1596" s="55" t="str">
        <f>IF(AND(OR(LEFT(TH!L1596,2)="15",LEFT(TH!M1596,2)="15"),TK!$E$7=TH!F1596),"x","")</f>
        <v/>
      </c>
      <c r="AA1596" s="55" t="str">
        <f>IF(AND(B1596&lt;=NKC!$N$8,B1596&gt;=NKC!$M$8),"x","")</f>
        <v/>
      </c>
    </row>
    <row r="1597" spans="1:27" ht="15.75" customHeight="1">
      <c r="A1597" s="219" t="str">
        <f>IF(B1597&lt;&gt;"",IF(AND(B1597&gt;=_TM1,B1597&lt;=_TM2,OR(TH!L1597="1111",TH!M1597="1111")),TH!D1597,""),"")</f>
        <v/>
      </c>
      <c r="B1597" s="36" t="str">
        <f t="shared" si="60"/>
        <v/>
      </c>
      <c r="C1597" s="37"/>
      <c r="D1597" s="37"/>
      <c r="E1597" s="37"/>
      <c r="F1597" s="40"/>
      <c r="G1597" s="40"/>
      <c r="H1597" s="45"/>
      <c r="I1597" s="277"/>
      <c r="J1597" s="277"/>
      <c r="K1597" s="38"/>
      <c r="L1597" s="39"/>
      <c r="M1597" s="39"/>
      <c r="N1597" s="55" t="str">
        <f>IF(AND('331-CT'!$E$7=TH!H1597,OR(L1597="331",M1597="331")),"x","")</f>
        <v/>
      </c>
      <c r="O1597" s="55" t="str">
        <f>IF(AND($B1597&gt;='111'!$N$11,$B1597&lt;='111'!$O$11,OR($L1597=$O$7,$M1597=$O$7)),"x","")</f>
        <v/>
      </c>
      <c r="P1597" s="55" t="str">
        <f>IF(AND($L1597=$O$7,$B1597&lt;'111'!$N$11),"x","")</f>
        <v/>
      </c>
      <c r="Q1597" s="55" t="str">
        <f>IF(AND($M1597=$O$7,$B1597&lt;'111'!$N$11),"x","")</f>
        <v/>
      </c>
      <c r="R1597" s="55" t="str">
        <f>IF(ISERROR(FIND('112'!$M$9,G1597,1)),"",IF((AND(FIND('112'!$M$9,G1597,1)&gt;=1,$B1597&gt;='112'!$N$8,$B1597&lt;='112'!$O$8,OR($L1597='112'!$I$6,$M1597='112'!$I$6))),"x",""))</f>
        <v/>
      </c>
      <c r="S1597" s="55" t="str">
        <f>IF(ISERROR(FIND('112'!$M$9,G1597,1)),"",IF((AND(LEFT(G1597,2)=LEFT('112'!$M$9,2),B1597&lt;'112'!$N$8,$L1597='112'!$I$6)),"x",""))</f>
        <v/>
      </c>
      <c r="T1597" s="55" t="str">
        <f>IF(ISERROR(FIND('112'!$M$9,G1597,1)),"",IF((AND(RIGHT(G1597,2)=RIGHT('112'!$M$9,2),B1597&lt;'112'!$N$8,$M1597='112'!$I$6)),"x",""))</f>
        <v/>
      </c>
      <c r="U1597" s="55" t="str">
        <f>IF(AND('3411-CT'!$F$9=H1597,OR(LEFT(L1597,3)=$U$7,LEFT(M1597,3)=$U$7)),"x","")</f>
        <v/>
      </c>
      <c r="V1597" s="55" t="str">
        <f>IF(OR(TH!L1597=TH!$V$7,M1597=TH!$V$7),"x","")</f>
        <v/>
      </c>
      <c r="W1597" s="55" t="str">
        <f>IF(AND(OR(L1597="131",M1597="131"),H1597='131-CT'!$E$7),"x","")</f>
        <v/>
      </c>
      <c r="X1597" s="55" t="str">
        <f>IF(AND(B1597&gt;='IN-NX'!$P$3,B1597&lt;='IN-NX'!$Q$3,'IN-NX'!$D$7=D1597,OR(LEFT(TH!L1597,2)="15",LEFT(TH!M1597,2)="15")),"x","")</f>
        <v/>
      </c>
      <c r="Y1597" s="55" t="str">
        <f>IF(AND(OR(LEFT(TH!L1597,2)="15",LEFT(TH!M1597,2)="15"),'152-CT'!$J$8=TH!F1597),"x","")</f>
        <v/>
      </c>
      <c r="Z1597" s="55" t="str">
        <f>IF(AND(OR(LEFT(TH!L1597,2)="15",LEFT(TH!M1597,2)="15"),TK!$E$7=TH!F1597),"x","")</f>
        <v/>
      </c>
      <c r="AA1597" s="55" t="str">
        <f>IF(AND(B1597&lt;=NKC!$N$8,B1597&gt;=NKC!$M$8),"x","")</f>
        <v/>
      </c>
    </row>
    <row r="1598" spans="1:27" ht="15.75" customHeight="1">
      <c r="A1598" s="219" t="str">
        <f>IF(B1598&lt;&gt;"",IF(AND(B1598&gt;=_TM1,B1598&lt;=_TM2,OR(TH!L1598="1111",TH!M1598="1111")),TH!D1598,""),"")</f>
        <v/>
      </c>
      <c r="B1598" s="36" t="str">
        <f t="shared" si="60"/>
        <v/>
      </c>
      <c r="C1598" s="37"/>
      <c r="D1598" s="37"/>
      <c r="E1598" s="37"/>
      <c r="F1598" s="40"/>
      <c r="G1598" s="40"/>
      <c r="H1598" s="45"/>
      <c r="I1598" s="277"/>
      <c r="J1598" s="277"/>
      <c r="K1598" s="38"/>
      <c r="L1598" s="39"/>
      <c r="M1598" s="39"/>
      <c r="N1598" s="55" t="str">
        <f>IF(AND('331-CT'!$E$7=TH!H1598,OR(L1598="331",M1598="331")),"x","")</f>
        <v/>
      </c>
      <c r="O1598" s="55" t="str">
        <f>IF(AND($B1598&gt;='111'!$N$11,$B1598&lt;='111'!$O$11,OR($L1598=$O$7,$M1598=$O$7)),"x","")</f>
        <v/>
      </c>
      <c r="P1598" s="55" t="str">
        <f>IF(AND($L1598=$O$7,$B1598&lt;'111'!$N$11),"x","")</f>
        <v/>
      </c>
      <c r="Q1598" s="55" t="str">
        <f>IF(AND($M1598=$O$7,$B1598&lt;'111'!$N$11),"x","")</f>
        <v/>
      </c>
      <c r="R1598" s="55" t="str">
        <f>IF(ISERROR(FIND('112'!$M$9,G1598,1)),"",IF((AND(FIND('112'!$M$9,G1598,1)&gt;=1,$B1598&gt;='112'!$N$8,$B1598&lt;='112'!$O$8,OR($L1598='112'!$I$6,$M1598='112'!$I$6))),"x",""))</f>
        <v/>
      </c>
      <c r="S1598" s="55" t="str">
        <f>IF(ISERROR(FIND('112'!$M$9,G1598,1)),"",IF((AND(LEFT(G1598,2)=LEFT('112'!$M$9,2),B1598&lt;'112'!$N$8,$L1598='112'!$I$6)),"x",""))</f>
        <v/>
      </c>
      <c r="T1598" s="55" t="str">
        <f>IF(ISERROR(FIND('112'!$M$9,G1598,1)),"",IF((AND(RIGHT(G1598,2)=RIGHT('112'!$M$9,2),B1598&lt;'112'!$N$8,$M1598='112'!$I$6)),"x",""))</f>
        <v/>
      </c>
      <c r="U1598" s="55" t="str">
        <f>IF(AND('3411-CT'!$F$9=H1598,OR(LEFT(L1598,3)=$U$7,LEFT(M1598,3)=$U$7)),"x","")</f>
        <v/>
      </c>
      <c r="V1598" s="55" t="str">
        <f>IF(OR(TH!L1598=TH!$V$7,M1598=TH!$V$7),"x","")</f>
        <v/>
      </c>
      <c r="W1598" s="55" t="str">
        <f>IF(AND(OR(L1598="131",M1598="131"),H1598='131-CT'!$E$7),"x","")</f>
        <v/>
      </c>
      <c r="X1598" s="55" t="str">
        <f>IF(AND(B1598&gt;='IN-NX'!$P$3,B1598&lt;='IN-NX'!$Q$3,'IN-NX'!$D$7=D1598,OR(LEFT(TH!L1598,2)="15",LEFT(TH!M1598,2)="15")),"x","")</f>
        <v/>
      </c>
      <c r="Y1598" s="55" t="str">
        <f>IF(AND(OR(LEFT(TH!L1598,2)="15",LEFT(TH!M1598,2)="15"),'152-CT'!$J$8=TH!F1598),"x","")</f>
        <v/>
      </c>
      <c r="Z1598" s="55" t="str">
        <f>IF(AND(OR(LEFT(TH!L1598,2)="15",LEFT(TH!M1598,2)="15"),TK!$E$7=TH!F1598),"x","")</f>
        <v/>
      </c>
      <c r="AA1598" s="55" t="str">
        <f>IF(AND(B1598&lt;=NKC!$N$8,B1598&gt;=NKC!$M$8),"x","")</f>
        <v/>
      </c>
    </row>
    <row r="1599" spans="1:27" ht="15.75" customHeight="1">
      <c r="A1599" s="219" t="str">
        <f>IF(B1599&lt;&gt;"",IF(AND(B1599&gt;=_TM1,B1599&lt;=_TM2,OR(TH!L1599="1111",TH!M1599="1111")),TH!D1599,""),"")</f>
        <v/>
      </c>
      <c r="B1599" s="36" t="str">
        <f t="shared" si="60"/>
        <v/>
      </c>
      <c r="C1599" s="37"/>
      <c r="D1599" s="37"/>
      <c r="E1599" s="37"/>
      <c r="F1599" s="40"/>
      <c r="G1599" s="40"/>
      <c r="H1599" s="45"/>
      <c r="I1599" s="277"/>
      <c r="J1599" s="277"/>
      <c r="K1599" s="38"/>
      <c r="L1599" s="39"/>
      <c r="M1599" s="39"/>
      <c r="N1599" s="55" t="str">
        <f>IF(AND('331-CT'!$E$7=TH!H1599,OR(L1599="331",M1599="331")),"x","")</f>
        <v/>
      </c>
      <c r="O1599" s="55" t="str">
        <f>IF(AND($B1599&gt;='111'!$N$11,$B1599&lt;='111'!$O$11,OR($L1599=$O$7,$M1599=$O$7)),"x","")</f>
        <v/>
      </c>
      <c r="P1599" s="55" t="str">
        <f>IF(AND($L1599=$O$7,$B1599&lt;'111'!$N$11),"x","")</f>
        <v/>
      </c>
      <c r="Q1599" s="55" t="str">
        <f>IF(AND($M1599=$O$7,$B1599&lt;'111'!$N$11),"x","")</f>
        <v/>
      </c>
      <c r="R1599" s="55" t="str">
        <f>IF(ISERROR(FIND('112'!$M$9,G1599,1)),"",IF((AND(FIND('112'!$M$9,G1599,1)&gt;=1,$B1599&gt;='112'!$N$8,$B1599&lt;='112'!$O$8,OR($L1599='112'!$I$6,$M1599='112'!$I$6))),"x",""))</f>
        <v/>
      </c>
      <c r="S1599" s="55" t="str">
        <f>IF(ISERROR(FIND('112'!$M$9,G1599,1)),"",IF((AND(LEFT(G1599,2)=LEFT('112'!$M$9,2),B1599&lt;'112'!$N$8,$L1599='112'!$I$6)),"x",""))</f>
        <v/>
      </c>
      <c r="T1599" s="55" t="str">
        <f>IF(ISERROR(FIND('112'!$M$9,G1599,1)),"",IF((AND(RIGHT(G1599,2)=RIGHT('112'!$M$9,2),B1599&lt;'112'!$N$8,$M1599='112'!$I$6)),"x",""))</f>
        <v/>
      </c>
      <c r="U1599" s="55" t="str">
        <f>IF(AND('3411-CT'!$F$9=H1599,OR(LEFT(L1599,3)=$U$7,LEFT(M1599,3)=$U$7)),"x","")</f>
        <v/>
      </c>
      <c r="V1599" s="55" t="str">
        <f>IF(OR(TH!L1599=TH!$V$7,M1599=TH!$V$7),"x","")</f>
        <v/>
      </c>
      <c r="W1599" s="55" t="str">
        <f>IF(AND(OR(L1599="131",M1599="131"),H1599='131-CT'!$E$7),"x","")</f>
        <v/>
      </c>
      <c r="X1599" s="55" t="str">
        <f>IF(AND(B1599&gt;='IN-NX'!$P$3,B1599&lt;='IN-NX'!$Q$3,'IN-NX'!$D$7=D1599,OR(LEFT(TH!L1599,2)="15",LEFT(TH!M1599,2)="15")),"x","")</f>
        <v/>
      </c>
      <c r="Y1599" s="55" t="str">
        <f>IF(AND(OR(LEFT(TH!L1599,2)="15",LEFT(TH!M1599,2)="15"),'152-CT'!$J$8=TH!F1599),"x","")</f>
        <v/>
      </c>
      <c r="Z1599" s="55" t="str">
        <f>IF(AND(OR(LEFT(TH!L1599,2)="15",LEFT(TH!M1599,2)="15"),TK!$E$7=TH!F1599),"x","")</f>
        <v/>
      </c>
      <c r="AA1599" s="55" t="str">
        <f>IF(AND(B1599&lt;=NKC!$N$8,B1599&gt;=NKC!$M$8),"x","")</f>
        <v/>
      </c>
    </row>
    <row r="1600" spans="1:27" ht="15.75" customHeight="1">
      <c r="A1600" s="219" t="str">
        <f>IF(B1600&lt;&gt;"",IF(AND(B1600&gt;=_TM1,B1600&lt;=_TM2,OR(TH!L1600="1111",TH!M1600="1111")),TH!D1600,""),"")</f>
        <v/>
      </c>
      <c r="B1600" s="36" t="str">
        <f t="shared" si="60"/>
        <v/>
      </c>
      <c r="C1600" s="37"/>
      <c r="D1600" s="37"/>
      <c r="E1600" s="37"/>
      <c r="F1600" s="40"/>
      <c r="G1600" s="40"/>
      <c r="H1600" s="45"/>
      <c r="I1600" s="277"/>
      <c r="J1600" s="277"/>
      <c r="K1600" s="38"/>
      <c r="L1600" s="39"/>
      <c r="M1600" s="39"/>
      <c r="N1600" s="55" t="str">
        <f>IF(AND('331-CT'!$E$7=TH!H1600,OR(L1600="331",M1600="331")),"x","")</f>
        <v/>
      </c>
      <c r="O1600" s="55" t="str">
        <f>IF(AND($B1600&gt;='111'!$N$11,$B1600&lt;='111'!$O$11,OR($L1600=$O$7,$M1600=$O$7)),"x","")</f>
        <v/>
      </c>
      <c r="P1600" s="55" t="str">
        <f>IF(AND($L1600=$O$7,$B1600&lt;'111'!$N$11),"x","")</f>
        <v/>
      </c>
      <c r="Q1600" s="55" t="str">
        <f>IF(AND($M1600=$O$7,$B1600&lt;'111'!$N$11),"x","")</f>
        <v/>
      </c>
      <c r="R1600" s="55" t="str">
        <f>IF(ISERROR(FIND('112'!$M$9,G1600,1)),"",IF((AND(FIND('112'!$M$9,G1600,1)&gt;=1,$B1600&gt;='112'!$N$8,$B1600&lt;='112'!$O$8,OR($L1600='112'!$I$6,$M1600='112'!$I$6))),"x",""))</f>
        <v/>
      </c>
      <c r="S1600" s="55" t="str">
        <f>IF(ISERROR(FIND('112'!$M$9,G1600,1)),"",IF((AND(LEFT(G1600,2)=LEFT('112'!$M$9,2),B1600&lt;'112'!$N$8,$L1600='112'!$I$6)),"x",""))</f>
        <v/>
      </c>
      <c r="T1600" s="55" t="str">
        <f>IF(ISERROR(FIND('112'!$M$9,G1600,1)),"",IF((AND(RIGHT(G1600,2)=RIGHT('112'!$M$9,2),B1600&lt;'112'!$N$8,$M1600='112'!$I$6)),"x",""))</f>
        <v/>
      </c>
      <c r="U1600" s="55" t="str">
        <f>IF(AND('3411-CT'!$F$9=H1600,OR(LEFT(L1600,3)=$U$7,LEFT(M1600,3)=$U$7)),"x","")</f>
        <v/>
      </c>
      <c r="V1600" s="55" t="str">
        <f>IF(OR(TH!L1600=TH!$V$7,M1600=TH!$V$7),"x","")</f>
        <v/>
      </c>
      <c r="W1600" s="55" t="str">
        <f>IF(AND(OR(L1600="131",M1600="131"),H1600='131-CT'!$E$7),"x","")</f>
        <v/>
      </c>
      <c r="X1600" s="55" t="str">
        <f>IF(AND(B1600&gt;='IN-NX'!$P$3,B1600&lt;='IN-NX'!$Q$3,'IN-NX'!$D$7=D1600,OR(LEFT(TH!L1600,2)="15",LEFT(TH!M1600,2)="15")),"x","")</f>
        <v/>
      </c>
      <c r="Y1600" s="55" t="str">
        <f>IF(AND(OR(LEFT(TH!L1600,2)="15",LEFT(TH!M1600,2)="15"),'152-CT'!$J$8=TH!F1600),"x","")</f>
        <v/>
      </c>
      <c r="Z1600" s="55" t="str">
        <f>IF(AND(OR(LEFT(TH!L1600,2)="15",LEFT(TH!M1600,2)="15"),TK!$E$7=TH!F1600),"x","")</f>
        <v/>
      </c>
      <c r="AA1600" s="55" t="str">
        <f>IF(AND(B1600&lt;=NKC!$N$8,B1600&gt;=NKC!$M$8),"x","")</f>
        <v/>
      </c>
    </row>
    <row r="1601" spans="1:27" ht="15.75" customHeight="1">
      <c r="A1601" s="219" t="str">
        <f>IF(B1601&lt;&gt;"",IF(AND(B1601&gt;=_TM1,B1601&lt;=_TM2,OR(TH!L1601="1111",TH!M1601="1111")),TH!D1601,""),"")</f>
        <v/>
      </c>
      <c r="B1601" s="36" t="str">
        <f t="shared" si="60"/>
        <v/>
      </c>
      <c r="C1601" s="37"/>
      <c r="D1601" s="37"/>
      <c r="E1601" s="37"/>
      <c r="F1601" s="40"/>
      <c r="G1601" s="40"/>
      <c r="H1601" s="45"/>
      <c r="I1601" s="277"/>
      <c r="J1601" s="277"/>
      <c r="K1601" s="38"/>
      <c r="L1601" s="39"/>
      <c r="M1601" s="39"/>
      <c r="N1601" s="55" t="str">
        <f>IF(AND('331-CT'!$E$7=TH!H1601,OR(L1601="331",M1601="331")),"x","")</f>
        <v/>
      </c>
      <c r="O1601" s="55" t="str">
        <f>IF(AND($B1601&gt;='111'!$N$11,$B1601&lt;='111'!$O$11,OR($L1601=$O$7,$M1601=$O$7)),"x","")</f>
        <v/>
      </c>
      <c r="P1601" s="55" t="str">
        <f>IF(AND($L1601=$O$7,$B1601&lt;'111'!$N$11),"x","")</f>
        <v/>
      </c>
      <c r="Q1601" s="55" t="str">
        <f>IF(AND($M1601=$O$7,$B1601&lt;'111'!$N$11),"x","")</f>
        <v/>
      </c>
      <c r="R1601" s="55" t="str">
        <f>IF(ISERROR(FIND('112'!$M$9,G1601,1)),"",IF((AND(FIND('112'!$M$9,G1601,1)&gt;=1,$B1601&gt;='112'!$N$8,$B1601&lt;='112'!$O$8,OR($L1601='112'!$I$6,$M1601='112'!$I$6))),"x",""))</f>
        <v/>
      </c>
      <c r="S1601" s="55" t="str">
        <f>IF(ISERROR(FIND('112'!$M$9,G1601,1)),"",IF((AND(LEFT(G1601,2)=LEFT('112'!$M$9,2),B1601&lt;'112'!$N$8,$L1601='112'!$I$6)),"x",""))</f>
        <v/>
      </c>
      <c r="T1601" s="55" t="str">
        <f>IF(ISERROR(FIND('112'!$M$9,G1601,1)),"",IF((AND(RIGHT(G1601,2)=RIGHT('112'!$M$9,2),B1601&lt;'112'!$N$8,$M1601='112'!$I$6)),"x",""))</f>
        <v/>
      </c>
      <c r="U1601" s="55" t="str">
        <f>IF(AND('3411-CT'!$F$9=H1601,OR(LEFT(L1601,3)=$U$7,LEFT(M1601,3)=$U$7)),"x","")</f>
        <v/>
      </c>
      <c r="V1601" s="55" t="str">
        <f>IF(OR(TH!L1601=TH!$V$7,M1601=TH!$V$7),"x","")</f>
        <v/>
      </c>
      <c r="W1601" s="55" t="str">
        <f>IF(AND(OR(L1601="131",M1601="131"),H1601='131-CT'!$E$7),"x","")</f>
        <v/>
      </c>
      <c r="X1601" s="55" t="str">
        <f>IF(AND(B1601&gt;='IN-NX'!$P$3,B1601&lt;='IN-NX'!$Q$3,'IN-NX'!$D$7=D1601,OR(LEFT(TH!L1601,2)="15",LEFT(TH!M1601,2)="15")),"x","")</f>
        <v/>
      </c>
      <c r="Y1601" s="55" t="str">
        <f>IF(AND(OR(LEFT(TH!L1601,2)="15",LEFT(TH!M1601,2)="15"),'152-CT'!$J$8=TH!F1601),"x","")</f>
        <v/>
      </c>
      <c r="Z1601" s="55" t="str">
        <f>IF(AND(OR(LEFT(TH!L1601,2)="15",LEFT(TH!M1601,2)="15"),TK!$E$7=TH!F1601),"x","")</f>
        <v/>
      </c>
      <c r="AA1601" s="55" t="str">
        <f>IF(AND(B1601&lt;=NKC!$N$8,B1601&gt;=NKC!$M$8),"x","")</f>
        <v/>
      </c>
    </row>
    <row r="1602" spans="1:27" ht="15.75" customHeight="1">
      <c r="A1602" s="219" t="str">
        <f>IF(B1602&lt;&gt;"",IF(AND(B1602&gt;=_TM1,B1602&lt;=_TM2,OR(TH!L1602="1111",TH!M1602="1111")),TH!D1602,""),"")</f>
        <v/>
      </c>
      <c r="B1602" s="36" t="str">
        <f t="shared" si="60"/>
        <v/>
      </c>
      <c r="C1602" s="37"/>
      <c r="D1602" s="37"/>
      <c r="E1602" s="37"/>
      <c r="F1602" s="40"/>
      <c r="G1602" s="40"/>
      <c r="H1602" s="45"/>
      <c r="I1602" s="277"/>
      <c r="J1602" s="277"/>
      <c r="K1602" s="38"/>
      <c r="L1602" s="39"/>
      <c r="M1602" s="39"/>
      <c r="N1602" s="55" t="str">
        <f>IF(AND('331-CT'!$E$7=TH!H1602,OR(L1602="331",M1602="331")),"x","")</f>
        <v/>
      </c>
      <c r="O1602" s="55" t="str">
        <f>IF(AND($B1602&gt;='111'!$N$11,$B1602&lt;='111'!$O$11,OR($L1602=$O$7,$M1602=$O$7)),"x","")</f>
        <v/>
      </c>
      <c r="P1602" s="55" t="str">
        <f>IF(AND($L1602=$O$7,$B1602&lt;'111'!$N$11),"x","")</f>
        <v/>
      </c>
      <c r="Q1602" s="55" t="str">
        <f>IF(AND($M1602=$O$7,$B1602&lt;'111'!$N$11),"x","")</f>
        <v/>
      </c>
      <c r="R1602" s="55" t="str">
        <f>IF(ISERROR(FIND('112'!$M$9,G1602,1)),"",IF((AND(FIND('112'!$M$9,G1602,1)&gt;=1,$B1602&gt;='112'!$N$8,$B1602&lt;='112'!$O$8,OR($L1602='112'!$I$6,$M1602='112'!$I$6))),"x",""))</f>
        <v/>
      </c>
      <c r="S1602" s="55" t="str">
        <f>IF(ISERROR(FIND('112'!$M$9,G1602,1)),"",IF((AND(LEFT(G1602,2)=LEFT('112'!$M$9,2),B1602&lt;'112'!$N$8,$L1602='112'!$I$6)),"x",""))</f>
        <v/>
      </c>
      <c r="T1602" s="55" t="str">
        <f>IF(ISERROR(FIND('112'!$M$9,G1602,1)),"",IF((AND(RIGHT(G1602,2)=RIGHT('112'!$M$9,2),B1602&lt;'112'!$N$8,$M1602='112'!$I$6)),"x",""))</f>
        <v/>
      </c>
      <c r="U1602" s="55" t="str">
        <f>IF(AND('3411-CT'!$F$9=H1602,OR(LEFT(L1602,3)=$U$7,LEFT(M1602,3)=$U$7)),"x","")</f>
        <v/>
      </c>
      <c r="V1602" s="55" t="str">
        <f>IF(OR(TH!L1602=TH!$V$7,M1602=TH!$V$7),"x","")</f>
        <v/>
      </c>
      <c r="W1602" s="55" t="str">
        <f>IF(AND(OR(L1602="131",M1602="131"),H1602='131-CT'!$E$7),"x","")</f>
        <v/>
      </c>
      <c r="X1602" s="55" t="str">
        <f>IF(AND(B1602&gt;='IN-NX'!$P$3,B1602&lt;='IN-NX'!$Q$3,'IN-NX'!$D$7=D1602,OR(LEFT(TH!L1602,2)="15",LEFT(TH!M1602,2)="15")),"x","")</f>
        <v/>
      </c>
      <c r="Y1602" s="55" t="str">
        <f>IF(AND(OR(LEFT(TH!L1602,2)="15",LEFT(TH!M1602,2)="15"),'152-CT'!$J$8=TH!F1602),"x","")</f>
        <v/>
      </c>
      <c r="Z1602" s="55" t="str">
        <f>IF(AND(OR(LEFT(TH!L1602,2)="15",LEFT(TH!M1602,2)="15"),TK!$E$7=TH!F1602),"x","")</f>
        <v/>
      </c>
      <c r="AA1602" s="55" t="str">
        <f>IF(AND(B1602&lt;=NKC!$N$8,B1602&gt;=NKC!$M$8),"x","")</f>
        <v/>
      </c>
    </row>
    <row r="1603" spans="1:27" ht="15.75" customHeight="1">
      <c r="A1603" s="219" t="str">
        <f>IF(B1603&lt;&gt;"",IF(AND(B1603&gt;=_TM1,B1603&lt;=_TM2,OR(TH!L1603="1111",TH!M1603="1111")),TH!D1603,""),"")</f>
        <v/>
      </c>
      <c r="B1603" s="36" t="str">
        <f t="shared" si="60"/>
        <v/>
      </c>
      <c r="C1603" s="37"/>
      <c r="D1603" s="37"/>
      <c r="E1603" s="37"/>
      <c r="F1603" s="40"/>
      <c r="G1603" s="40"/>
      <c r="H1603" s="45"/>
      <c r="I1603" s="277"/>
      <c r="J1603" s="277"/>
      <c r="K1603" s="38"/>
      <c r="L1603" s="39"/>
      <c r="M1603" s="39"/>
      <c r="N1603" s="55" t="str">
        <f>IF(AND('331-CT'!$E$7=TH!H1603,OR(L1603="331",M1603="331")),"x","")</f>
        <v/>
      </c>
      <c r="O1603" s="55" t="str">
        <f>IF(AND($B1603&gt;='111'!$N$11,$B1603&lt;='111'!$O$11,OR($L1603=$O$7,$M1603=$O$7)),"x","")</f>
        <v/>
      </c>
      <c r="P1603" s="55" t="str">
        <f>IF(AND($L1603=$O$7,$B1603&lt;'111'!$N$11),"x","")</f>
        <v/>
      </c>
      <c r="Q1603" s="55" t="str">
        <f>IF(AND($M1603=$O$7,$B1603&lt;'111'!$N$11),"x","")</f>
        <v/>
      </c>
      <c r="R1603" s="55" t="str">
        <f>IF(ISERROR(FIND('112'!$M$9,G1603,1)),"",IF((AND(FIND('112'!$M$9,G1603,1)&gt;=1,$B1603&gt;='112'!$N$8,$B1603&lt;='112'!$O$8,OR($L1603='112'!$I$6,$M1603='112'!$I$6))),"x",""))</f>
        <v/>
      </c>
      <c r="S1603" s="55" t="str">
        <f>IF(ISERROR(FIND('112'!$M$9,G1603,1)),"",IF((AND(LEFT(G1603,2)=LEFT('112'!$M$9,2),B1603&lt;'112'!$N$8,$L1603='112'!$I$6)),"x",""))</f>
        <v/>
      </c>
      <c r="T1603" s="55" t="str">
        <f>IF(ISERROR(FIND('112'!$M$9,G1603,1)),"",IF((AND(RIGHT(G1603,2)=RIGHT('112'!$M$9,2),B1603&lt;'112'!$N$8,$M1603='112'!$I$6)),"x",""))</f>
        <v/>
      </c>
      <c r="U1603" s="55" t="str">
        <f>IF(AND('3411-CT'!$F$9=H1603,OR(LEFT(L1603,3)=$U$7,LEFT(M1603,3)=$U$7)),"x","")</f>
        <v/>
      </c>
      <c r="V1603" s="55" t="str">
        <f>IF(OR(TH!L1603=TH!$V$7,M1603=TH!$V$7),"x","")</f>
        <v/>
      </c>
      <c r="W1603" s="55" t="str">
        <f>IF(AND(OR(L1603="131",M1603="131"),H1603='131-CT'!$E$7),"x","")</f>
        <v/>
      </c>
      <c r="X1603" s="55" t="str">
        <f>IF(AND(B1603&gt;='IN-NX'!$P$3,B1603&lt;='IN-NX'!$Q$3,'IN-NX'!$D$7=D1603,OR(LEFT(TH!L1603,2)="15",LEFT(TH!M1603,2)="15")),"x","")</f>
        <v/>
      </c>
      <c r="Y1603" s="55" t="str">
        <f>IF(AND(OR(LEFT(TH!L1603,2)="15",LEFT(TH!M1603,2)="15"),'152-CT'!$J$8=TH!F1603),"x","")</f>
        <v/>
      </c>
      <c r="Z1603" s="55" t="str">
        <f>IF(AND(OR(LEFT(TH!L1603,2)="15",LEFT(TH!M1603,2)="15"),TK!$E$7=TH!F1603),"x","")</f>
        <v/>
      </c>
      <c r="AA1603" s="55" t="str">
        <f>IF(AND(B1603&lt;=NKC!$N$8,B1603&gt;=NKC!$M$8),"x","")</f>
        <v/>
      </c>
    </row>
    <row r="1604" spans="1:27" ht="15.75" customHeight="1">
      <c r="A1604" s="219" t="str">
        <f>IF(B1604&lt;&gt;"",IF(AND(B1604&gt;=_TM1,B1604&lt;=_TM2,OR(TH!L1604="1111",TH!M1604="1111")),TH!D1604,""),"")</f>
        <v/>
      </c>
      <c r="B1604" s="36" t="str">
        <f t="shared" si="60"/>
        <v/>
      </c>
      <c r="C1604" s="37"/>
      <c r="D1604" s="37"/>
      <c r="E1604" s="37"/>
      <c r="F1604" s="40"/>
      <c r="G1604" s="40"/>
      <c r="H1604" s="45"/>
      <c r="I1604" s="277"/>
      <c r="J1604" s="277"/>
      <c r="K1604" s="38"/>
      <c r="L1604" s="39"/>
      <c r="M1604" s="39"/>
      <c r="N1604" s="55" t="str">
        <f>IF(AND('331-CT'!$E$7=TH!H1604,OR(L1604="331",M1604="331")),"x","")</f>
        <v/>
      </c>
      <c r="O1604" s="55" t="str">
        <f>IF(AND($B1604&gt;='111'!$N$11,$B1604&lt;='111'!$O$11,OR($L1604=$O$7,$M1604=$O$7)),"x","")</f>
        <v/>
      </c>
      <c r="P1604" s="55" t="str">
        <f>IF(AND($L1604=$O$7,$B1604&lt;'111'!$N$11),"x","")</f>
        <v/>
      </c>
      <c r="Q1604" s="55" t="str">
        <f>IF(AND($M1604=$O$7,$B1604&lt;'111'!$N$11),"x","")</f>
        <v/>
      </c>
      <c r="R1604" s="55" t="str">
        <f>IF(ISERROR(FIND('112'!$M$9,G1604,1)),"",IF((AND(FIND('112'!$M$9,G1604,1)&gt;=1,$B1604&gt;='112'!$N$8,$B1604&lt;='112'!$O$8,OR($L1604='112'!$I$6,$M1604='112'!$I$6))),"x",""))</f>
        <v/>
      </c>
      <c r="S1604" s="55" t="str">
        <f>IF(ISERROR(FIND('112'!$M$9,G1604,1)),"",IF((AND(LEFT(G1604,2)=LEFT('112'!$M$9,2),B1604&lt;'112'!$N$8,$L1604='112'!$I$6)),"x",""))</f>
        <v/>
      </c>
      <c r="T1604" s="55" t="str">
        <f>IF(ISERROR(FIND('112'!$M$9,G1604,1)),"",IF((AND(RIGHT(G1604,2)=RIGHT('112'!$M$9,2),B1604&lt;'112'!$N$8,$M1604='112'!$I$6)),"x",""))</f>
        <v/>
      </c>
      <c r="U1604" s="55" t="str">
        <f>IF(AND('3411-CT'!$F$9=H1604,OR(LEFT(L1604,3)=$U$7,LEFT(M1604,3)=$U$7)),"x","")</f>
        <v/>
      </c>
      <c r="V1604" s="55" t="str">
        <f>IF(OR(TH!L1604=TH!$V$7,M1604=TH!$V$7),"x","")</f>
        <v/>
      </c>
      <c r="W1604" s="55" t="str">
        <f>IF(AND(OR(L1604="131",M1604="131"),H1604='131-CT'!$E$7),"x","")</f>
        <v/>
      </c>
      <c r="X1604" s="55" t="str">
        <f>IF(AND(B1604&gt;='IN-NX'!$P$3,B1604&lt;='IN-NX'!$Q$3,'IN-NX'!$D$7=D1604,OR(LEFT(TH!L1604,2)="15",LEFT(TH!M1604,2)="15")),"x","")</f>
        <v/>
      </c>
      <c r="Y1604" s="55" t="str">
        <f>IF(AND(OR(LEFT(TH!L1604,2)="15",LEFT(TH!M1604,2)="15"),'152-CT'!$J$8=TH!F1604),"x","")</f>
        <v/>
      </c>
      <c r="Z1604" s="55" t="str">
        <f>IF(AND(OR(LEFT(TH!L1604,2)="15",LEFT(TH!M1604,2)="15"),TK!$E$7=TH!F1604),"x","")</f>
        <v/>
      </c>
      <c r="AA1604" s="55" t="str">
        <f>IF(AND(B1604&lt;=NKC!$N$8,B1604&gt;=NKC!$M$8),"x","")</f>
        <v/>
      </c>
    </row>
    <row r="1605" spans="1:27" s="226" customFormat="1" ht="15.75" customHeight="1">
      <c r="A1605" s="219" t="str">
        <f>IF(B1605&lt;&gt;"",IF(AND(B1605&gt;=_TM1,B1605&lt;=_TM2,OR(TH!L1605="1111",TH!M1605="1111")),TH!D1605,""),"")</f>
        <v/>
      </c>
      <c r="B1605" s="36" t="str">
        <f t="shared" si="60"/>
        <v/>
      </c>
      <c r="C1605" s="37"/>
      <c r="D1605" s="205"/>
      <c r="E1605" s="205"/>
      <c r="F1605" s="206"/>
      <c r="G1605" s="206"/>
      <c r="H1605" s="207"/>
      <c r="I1605" s="277"/>
      <c r="J1605" s="277"/>
      <c r="K1605" s="38"/>
      <c r="L1605" s="208"/>
      <c r="M1605" s="208"/>
      <c r="N1605" s="55" t="str">
        <f>IF(AND('331-CT'!$E$7=TH!H1605,OR(L1605="331",M1605="331")),"x","")</f>
        <v/>
      </c>
      <c r="O1605" s="55" t="str">
        <f>IF(AND($B1605&gt;='111'!$N$11,$B1605&lt;='111'!$O$11,OR($L1605=$O$7,$M1605=$O$7)),"x","")</f>
        <v/>
      </c>
      <c r="P1605" s="55" t="str">
        <f>IF(AND($L1605=$O$7,$B1605&lt;'111'!$N$11),"x","")</f>
        <v/>
      </c>
      <c r="Q1605" s="55" t="str">
        <f>IF(AND($M1605=$O$7,$B1605&lt;'111'!$N$11),"x","")</f>
        <v/>
      </c>
      <c r="R1605" s="55" t="str">
        <f>IF(ISERROR(FIND('112'!$M$9,G1605,1)),"",IF((AND(FIND('112'!$M$9,G1605,1)&gt;=1,$B1605&gt;='112'!$N$8,$B1605&lt;='112'!$O$8,OR($L1605='112'!$I$6,$M1605='112'!$I$6))),"x",""))</f>
        <v/>
      </c>
      <c r="S1605" s="55" t="str">
        <f>IF(ISERROR(FIND('112'!$M$9,G1605,1)),"",IF((AND(LEFT(G1605,2)=LEFT('112'!$M$9,2),B1605&lt;'112'!$N$8,$L1605='112'!$I$6)),"x",""))</f>
        <v/>
      </c>
      <c r="T1605" s="55" t="str">
        <f>IF(ISERROR(FIND('112'!$M$9,G1605,1)),"",IF((AND(RIGHT(G1605,2)=RIGHT('112'!$M$9,2),B1605&lt;'112'!$N$8,$M1605='112'!$I$6)),"x",""))</f>
        <v/>
      </c>
      <c r="U1605" s="55" t="str">
        <f>IF(AND('3411-CT'!$F$9=H1605,OR(LEFT(L1605,3)=$U$7,LEFT(M1605,3)=$U$7)),"x","")</f>
        <v/>
      </c>
      <c r="V1605" s="55" t="str">
        <f>IF(OR(TH!L1605=TH!$V$7,M1605=TH!$V$7),"x","")</f>
        <v/>
      </c>
      <c r="W1605" s="55" t="str">
        <f>IF(AND(OR(L1605="131",M1605="131"),H1605='131-CT'!$E$7),"x","")</f>
        <v/>
      </c>
      <c r="X1605" s="55" t="str">
        <f>IF(AND(B1605&gt;='IN-NX'!$P$3,B1605&lt;='IN-NX'!$Q$3,'IN-NX'!$D$7=D1605,OR(LEFT(TH!L1605,2)="15",LEFT(TH!M1605,2)="15")),"x","")</f>
        <v/>
      </c>
      <c r="Y1605" s="55" t="str">
        <f>IF(AND(OR(LEFT(TH!L1605,2)="15",LEFT(TH!M1605,2)="15"),'152-CT'!$J$8=TH!F1605),"x","")</f>
        <v/>
      </c>
      <c r="Z1605" s="55" t="str">
        <f>IF(AND(OR(LEFT(TH!L1605,2)="15",LEFT(TH!M1605,2)="15"),TK!$E$7=TH!F1605),"x","")</f>
        <v/>
      </c>
      <c r="AA1605" s="55" t="str">
        <f>IF(AND(B1605&lt;=NKC!$N$8,B1605&gt;=NKC!$M$8),"x","")</f>
        <v/>
      </c>
    </row>
    <row r="1606" spans="1:27" s="226" customFormat="1" ht="15.75" customHeight="1">
      <c r="A1606" s="219" t="str">
        <f>IF(B1606&lt;&gt;"",IF(AND(B1606&gt;=_TM1,B1606&lt;=_TM2,OR(TH!L1606="1111",TH!M1606="1111")),TH!D1606,""),"")</f>
        <v/>
      </c>
      <c r="B1606" s="36" t="str">
        <f t="shared" si="60"/>
        <v/>
      </c>
      <c r="C1606" s="37"/>
      <c r="D1606" s="205"/>
      <c r="E1606" s="205"/>
      <c r="F1606" s="206"/>
      <c r="G1606" s="206"/>
      <c r="H1606" s="207"/>
      <c r="I1606" s="277"/>
      <c r="J1606" s="277"/>
      <c r="K1606" s="38"/>
      <c r="L1606" s="208"/>
      <c r="M1606" s="208"/>
      <c r="N1606" s="55" t="str">
        <f>IF(AND('331-CT'!$E$7=TH!H1606,OR(L1606="331",M1606="331")),"x","")</f>
        <v/>
      </c>
      <c r="O1606" s="55" t="str">
        <f>IF(AND($B1606&gt;='111'!$N$11,$B1606&lt;='111'!$O$11,OR($L1606=$O$7,$M1606=$O$7)),"x","")</f>
        <v/>
      </c>
      <c r="P1606" s="55" t="str">
        <f>IF(AND($L1606=$O$7,$B1606&lt;'111'!$N$11),"x","")</f>
        <v/>
      </c>
      <c r="Q1606" s="55" t="str">
        <f>IF(AND($M1606=$O$7,$B1606&lt;'111'!$N$11),"x","")</f>
        <v/>
      </c>
      <c r="R1606" s="55" t="str">
        <f>IF(ISERROR(FIND('112'!$M$9,G1606,1)),"",IF((AND(FIND('112'!$M$9,G1606,1)&gt;=1,$B1606&gt;='112'!$N$8,$B1606&lt;='112'!$O$8,OR($L1606='112'!$I$6,$M1606='112'!$I$6))),"x",""))</f>
        <v/>
      </c>
      <c r="S1606" s="55" t="str">
        <f>IF(ISERROR(FIND('112'!$M$9,G1606,1)),"",IF((AND(LEFT(G1606,2)=LEFT('112'!$M$9,2),B1606&lt;'112'!$N$8,$L1606='112'!$I$6)),"x",""))</f>
        <v/>
      </c>
      <c r="T1606" s="55" t="str">
        <f>IF(ISERROR(FIND('112'!$M$9,G1606,1)),"",IF((AND(RIGHT(G1606,2)=RIGHT('112'!$M$9,2),B1606&lt;'112'!$N$8,$M1606='112'!$I$6)),"x",""))</f>
        <v/>
      </c>
      <c r="U1606" s="55" t="str">
        <f>IF(AND('3411-CT'!$F$9=H1606,OR(LEFT(L1606,3)=$U$7,LEFT(M1606,3)=$U$7)),"x","")</f>
        <v/>
      </c>
      <c r="V1606" s="55" t="str">
        <f>IF(OR(TH!L1606=TH!$V$7,M1606=TH!$V$7),"x","")</f>
        <v/>
      </c>
      <c r="W1606" s="55" t="str">
        <f>IF(AND(OR(L1606="131",M1606="131"),H1606='131-CT'!$E$7),"x","")</f>
        <v/>
      </c>
      <c r="X1606" s="55" t="str">
        <f>IF(AND(B1606&gt;='IN-NX'!$P$3,B1606&lt;='IN-NX'!$Q$3,'IN-NX'!$D$7=D1606,OR(LEFT(TH!L1606,2)="15",LEFT(TH!M1606,2)="15")),"x","")</f>
        <v/>
      </c>
      <c r="Y1606" s="55" t="str">
        <f>IF(AND(OR(LEFT(TH!L1606,2)="15",LEFT(TH!M1606,2)="15"),'152-CT'!$J$8=TH!F1606),"x","")</f>
        <v/>
      </c>
      <c r="Z1606" s="55" t="str">
        <f>IF(AND(OR(LEFT(TH!L1606,2)="15",LEFT(TH!M1606,2)="15"),TK!$E$7=TH!F1606),"x","")</f>
        <v/>
      </c>
      <c r="AA1606" s="55" t="str">
        <f>IF(AND(B1606&lt;=NKC!$N$8,B1606&gt;=NKC!$M$8),"x","")</f>
        <v/>
      </c>
    </row>
    <row r="1607" spans="1:27" s="226" customFormat="1" ht="15.75" customHeight="1">
      <c r="A1607" s="219" t="str">
        <f>IF(B1607&lt;&gt;"",IF(AND(B1607&gt;=_TM1,B1607&lt;=_TM2,OR(TH!L1607="1111",TH!M1607="1111")),TH!D1607,""),"")</f>
        <v/>
      </c>
      <c r="B1607" s="36" t="str">
        <f t="shared" si="60"/>
        <v/>
      </c>
      <c r="C1607" s="37"/>
      <c r="D1607" s="205"/>
      <c r="E1607" s="205"/>
      <c r="F1607" s="206"/>
      <c r="G1607" s="206"/>
      <c r="H1607" s="207"/>
      <c r="I1607" s="277"/>
      <c r="J1607" s="277"/>
      <c r="K1607" s="38"/>
      <c r="L1607" s="208"/>
      <c r="M1607" s="208"/>
      <c r="N1607" s="55" t="str">
        <f>IF(AND('331-CT'!$E$7=TH!H1607,OR(L1607="331",M1607="331")),"x","")</f>
        <v/>
      </c>
      <c r="O1607" s="55" t="str">
        <f>IF(AND($B1607&gt;='111'!$N$11,$B1607&lt;='111'!$O$11,OR($L1607=$O$7,$M1607=$O$7)),"x","")</f>
        <v/>
      </c>
      <c r="P1607" s="55" t="str">
        <f>IF(AND($L1607=$O$7,$B1607&lt;'111'!$N$11),"x","")</f>
        <v/>
      </c>
      <c r="Q1607" s="55" t="str">
        <f>IF(AND($M1607=$O$7,$B1607&lt;'111'!$N$11),"x","")</f>
        <v/>
      </c>
      <c r="R1607" s="55" t="str">
        <f>IF(ISERROR(FIND('112'!$M$9,G1607,1)),"",IF((AND(FIND('112'!$M$9,G1607,1)&gt;=1,$B1607&gt;='112'!$N$8,$B1607&lt;='112'!$O$8,OR($L1607='112'!$I$6,$M1607='112'!$I$6))),"x",""))</f>
        <v/>
      </c>
      <c r="S1607" s="55" t="str">
        <f>IF(ISERROR(FIND('112'!$M$9,G1607,1)),"",IF((AND(LEFT(G1607,2)=LEFT('112'!$M$9,2),B1607&lt;'112'!$N$8,$L1607='112'!$I$6)),"x",""))</f>
        <v/>
      </c>
      <c r="T1607" s="55" t="str">
        <f>IF(ISERROR(FIND('112'!$M$9,G1607,1)),"",IF((AND(RIGHT(G1607,2)=RIGHT('112'!$M$9,2),B1607&lt;'112'!$N$8,$M1607='112'!$I$6)),"x",""))</f>
        <v/>
      </c>
      <c r="U1607" s="55" t="str">
        <f>IF(AND('3411-CT'!$F$9=H1607,OR(LEFT(L1607,3)=$U$7,LEFT(M1607,3)=$U$7)),"x","")</f>
        <v/>
      </c>
      <c r="V1607" s="55" t="str">
        <f>IF(OR(TH!L1607=TH!$V$7,M1607=TH!$V$7),"x","")</f>
        <v/>
      </c>
      <c r="W1607" s="55" t="str">
        <f>IF(AND(OR(L1607="131",M1607="131"),H1607='131-CT'!$E$7),"x","")</f>
        <v/>
      </c>
      <c r="X1607" s="55" t="str">
        <f>IF(AND(B1607&gt;='IN-NX'!$P$3,B1607&lt;='IN-NX'!$Q$3,'IN-NX'!$D$7=D1607,OR(LEFT(TH!L1607,2)="15",LEFT(TH!M1607,2)="15")),"x","")</f>
        <v/>
      </c>
      <c r="Y1607" s="55" t="str">
        <f>IF(AND(OR(LEFT(TH!L1607,2)="15",LEFT(TH!M1607,2)="15"),'152-CT'!$J$8=TH!F1607),"x","")</f>
        <v/>
      </c>
      <c r="Z1607" s="55" t="str">
        <f>IF(AND(OR(LEFT(TH!L1607,2)="15",LEFT(TH!M1607,2)="15"),TK!$E$7=TH!F1607),"x","")</f>
        <v/>
      </c>
      <c r="AA1607" s="55" t="str">
        <f>IF(AND(B1607&lt;=NKC!$N$8,B1607&gt;=NKC!$M$8),"x","")</f>
        <v/>
      </c>
    </row>
    <row r="1608" spans="1:27" s="226" customFormat="1" ht="15.75" customHeight="1">
      <c r="A1608" s="219" t="str">
        <f>IF(B1608&lt;&gt;"",IF(AND(B1608&gt;=_TM1,B1608&lt;=_TM2,OR(TH!L1608="1111",TH!M1608="1111")),TH!D1608,""),"")</f>
        <v/>
      </c>
      <c r="B1608" s="36" t="str">
        <f t="shared" si="60"/>
        <v/>
      </c>
      <c r="C1608" s="37"/>
      <c r="D1608" s="37"/>
      <c r="E1608" s="37"/>
      <c r="F1608" s="40"/>
      <c r="G1608" s="580"/>
      <c r="H1608" s="225"/>
      <c r="I1608" s="278"/>
      <c r="J1608" s="278"/>
      <c r="K1608" s="215"/>
      <c r="L1608" s="208"/>
      <c r="M1608" s="39"/>
      <c r="N1608" s="55" t="str">
        <f>IF(AND('331-CT'!$E$7=TH!H1608,OR(L1608="331",M1608="331")),"x","")</f>
        <v/>
      </c>
      <c r="O1608" s="55" t="str">
        <f>IF(AND($B1608&gt;='111'!$N$11,$B1608&lt;='111'!$O$11,OR($L1608=$O$7,$M1608=$O$7)),"x","")</f>
        <v/>
      </c>
      <c r="P1608" s="55" t="str">
        <f>IF(AND($L1608=$O$7,$B1608&lt;'111'!$N$11),"x","")</f>
        <v/>
      </c>
      <c r="Q1608" s="55" t="str">
        <f>IF(AND($M1608=$O$7,$B1608&lt;'111'!$N$11),"x","")</f>
        <v/>
      </c>
      <c r="R1608" s="55" t="str">
        <f>IF(ISERROR(FIND('112'!$M$9,G1608,1)),"",IF((AND(FIND('112'!$M$9,G1608,1)&gt;=1,$B1608&gt;='112'!$N$8,$B1608&lt;='112'!$O$8,OR($L1608='112'!$I$6,$M1608='112'!$I$6))),"x",""))</f>
        <v/>
      </c>
      <c r="S1608" s="55" t="str">
        <f>IF(ISERROR(FIND('112'!$M$9,G1608,1)),"",IF((AND(LEFT(G1608,2)=LEFT('112'!$M$9,2),B1608&lt;'112'!$N$8,$L1608='112'!$I$6)),"x",""))</f>
        <v/>
      </c>
      <c r="T1608" s="55" t="str">
        <f>IF(ISERROR(FIND('112'!$M$9,G1608,1)),"",IF((AND(RIGHT(G1608,2)=RIGHT('112'!$M$9,2),B1608&lt;'112'!$N$8,$M1608='112'!$I$6)),"x",""))</f>
        <v/>
      </c>
      <c r="U1608" s="55" t="str">
        <f>IF(AND('3411-CT'!$F$9=H1608,OR(LEFT(L1608,3)=$U$7,LEFT(M1608,3)=$U$7)),"x","")</f>
        <v/>
      </c>
      <c r="V1608" s="55" t="str">
        <f>IF(OR(TH!L1608=TH!$V$7,M1608=TH!$V$7),"x","")</f>
        <v/>
      </c>
      <c r="W1608" s="55" t="str">
        <f>IF(AND(OR(L1608="131",M1608="131"),H1608='131-CT'!$E$7),"x","")</f>
        <v/>
      </c>
      <c r="X1608" s="55" t="str">
        <f>IF(AND(B1608&gt;='IN-NX'!$P$3,B1608&lt;='IN-NX'!$Q$3,'IN-NX'!$D$7=D1608,OR(LEFT(TH!L1608,2)="15",LEFT(TH!M1608,2)="15")),"x","")</f>
        <v/>
      </c>
      <c r="Y1608" s="55" t="str">
        <f>IF(AND(OR(LEFT(TH!L1608,2)="15",LEFT(TH!M1608,2)="15"),'152-CT'!$J$8=TH!F1608),"x","")</f>
        <v/>
      </c>
      <c r="Z1608" s="55" t="str">
        <f>IF(AND(OR(LEFT(TH!L1608,2)="15",LEFT(TH!M1608,2)="15"),TK!$E$7=TH!F1608),"x","")</f>
        <v/>
      </c>
      <c r="AA1608" s="55" t="str">
        <f>IF(AND(B1608&lt;=NKC!$N$8,B1608&gt;=NKC!$M$8),"x","")</f>
        <v/>
      </c>
    </row>
    <row r="1609" spans="1:27" s="226" customFormat="1" ht="15.75" customHeight="1">
      <c r="A1609" s="219" t="str">
        <f>IF(B1609&lt;&gt;"",IF(AND(B1609&gt;=_TM1,B1609&lt;=_TM2,OR(TH!L1609="1111",TH!M1609="1111")),TH!D1609,""),"")</f>
        <v/>
      </c>
      <c r="B1609" s="36" t="str">
        <f t="shared" si="60"/>
        <v/>
      </c>
      <c r="C1609" s="37"/>
      <c r="D1609" s="37"/>
      <c r="E1609" s="37"/>
      <c r="F1609" s="40"/>
      <c r="G1609" s="580"/>
      <c r="H1609" s="225"/>
      <c r="I1609" s="278"/>
      <c r="J1609" s="278"/>
      <c r="K1609" s="38"/>
      <c r="L1609" s="208"/>
      <c r="M1609" s="39"/>
      <c r="N1609" s="55" t="str">
        <f>IF(AND('331-CT'!$E$7=TH!H1609,OR(L1609="331",M1609="331")),"x","")</f>
        <v/>
      </c>
      <c r="O1609" s="55" t="str">
        <f>IF(AND($B1609&gt;='111'!$N$11,$B1609&lt;='111'!$O$11,OR($L1609=$O$7,$M1609=$O$7)),"x","")</f>
        <v/>
      </c>
      <c r="P1609" s="55" t="str">
        <f>IF(AND($L1609=$O$7,$B1609&lt;'111'!$N$11),"x","")</f>
        <v/>
      </c>
      <c r="Q1609" s="55" t="str">
        <f>IF(AND($M1609=$O$7,$B1609&lt;'111'!$N$11),"x","")</f>
        <v/>
      </c>
      <c r="R1609" s="55" t="str">
        <f>IF(ISERROR(FIND('112'!$M$9,G1609,1)),"",IF((AND(FIND('112'!$M$9,G1609,1)&gt;=1,$B1609&gt;='112'!$N$8,$B1609&lt;='112'!$O$8,OR($L1609='112'!$I$6,$M1609='112'!$I$6))),"x",""))</f>
        <v/>
      </c>
      <c r="S1609" s="55" t="str">
        <f>IF(ISERROR(FIND('112'!$M$9,G1609,1)),"",IF((AND(LEFT(G1609,2)=LEFT('112'!$M$9,2),B1609&lt;'112'!$N$8,$L1609='112'!$I$6)),"x",""))</f>
        <v/>
      </c>
      <c r="T1609" s="55" t="str">
        <f>IF(ISERROR(FIND('112'!$M$9,G1609,1)),"",IF((AND(RIGHT(G1609,2)=RIGHT('112'!$M$9,2),B1609&lt;'112'!$N$8,$M1609='112'!$I$6)),"x",""))</f>
        <v/>
      </c>
      <c r="U1609" s="55" t="str">
        <f>IF(AND('3411-CT'!$F$9=H1609,OR(LEFT(L1609,3)=$U$7,LEFT(M1609,3)=$U$7)),"x","")</f>
        <v/>
      </c>
      <c r="V1609" s="55" t="str">
        <f>IF(OR(TH!L1609=TH!$V$7,M1609=TH!$V$7),"x","")</f>
        <v/>
      </c>
      <c r="W1609" s="55" t="str">
        <f>IF(AND(OR(L1609="131",M1609="131"),H1609='131-CT'!$E$7),"x","")</f>
        <v/>
      </c>
      <c r="X1609" s="55" t="str">
        <f>IF(AND(B1609&gt;='IN-NX'!$P$3,B1609&lt;='IN-NX'!$Q$3,'IN-NX'!$D$7=D1609,OR(LEFT(TH!L1609,2)="15",LEFT(TH!M1609,2)="15")),"x","")</f>
        <v/>
      </c>
      <c r="Y1609" s="55" t="str">
        <f>IF(AND(OR(LEFT(TH!L1609,2)="15",LEFT(TH!M1609,2)="15"),'152-CT'!$J$8=TH!F1609),"x","")</f>
        <v/>
      </c>
      <c r="Z1609" s="55" t="str">
        <f>IF(AND(OR(LEFT(TH!L1609,2)="15",LEFT(TH!M1609,2)="15"),TK!$E$7=TH!F1609),"x","")</f>
        <v/>
      </c>
      <c r="AA1609" s="55" t="str">
        <f>IF(AND(B1609&lt;=NKC!$N$8,B1609&gt;=NKC!$M$8),"x","")</f>
        <v/>
      </c>
    </row>
    <row r="1610" spans="1:27" s="226" customFormat="1" ht="15.75" customHeight="1">
      <c r="A1610" s="219" t="str">
        <f>IF(B1610&lt;&gt;"",IF(AND(B1610&gt;=_TM1,B1610&lt;=_TM2,OR(TH!L1610="1111",TH!M1610="1111")),TH!D1610,""),"")</f>
        <v/>
      </c>
      <c r="B1610" s="36" t="str">
        <f t="shared" si="60"/>
        <v/>
      </c>
      <c r="C1610" s="37"/>
      <c r="D1610" s="37"/>
      <c r="E1610" s="37"/>
      <c r="F1610" s="40"/>
      <c r="G1610" s="580"/>
      <c r="H1610" s="45"/>
      <c r="I1610" s="277"/>
      <c r="J1610" s="277"/>
      <c r="K1610" s="38"/>
      <c r="L1610" s="39"/>
      <c r="M1610" s="39"/>
      <c r="N1610" s="55" t="str">
        <f>IF(AND('331-CT'!$E$7=TH!H1610,OR(L1610="331",M1610="331")),"x","")</f>
        <v/>
      </c>
      <c r="O1610" s="55" t="str">
        <f>IF(AND($B1610&gt;='111'!$N$11,$B1610&lt;='111'!$O$11,OR($L1610=$O$7,$M1610=$O$7)),"x","")</f>
        <v/>
      </c>
      <c r="P1610" s="55" t="str">
        <f>IF(AND($L1610=$O$7,$B1610&lt;'111'!$N$11),"x","")</f>
        <v/>
      </c>
      <c r="Q1610" s="55" t="str">
        <f>IF(AND($M1610=$O$7,$B1610&lt;'111'!$N$11),"x","")</f>
        <v/>
      </c>
      <c r="R1610" s="55" t="str">
        <f>IF(ISERROR(FIND('112'!$M$9,G1610,1)),"",IF((AND(FIND('112'!$M$9,G1610,1)&gt;=1,$B1610&gt;='112'!$N$8,$B1610&lt;='112'!$O$8,OR($L1610='112'!$I$6,$M1610='112'!$I$6))),"x",""))</f>
        <v/>
      </c>
      <c r="S1610" s="55" t="str">
        <f>IF(ISERROR(FIND('112'!$M$9,G1610,1)),"",IF((AND(LEFT(G1610,2)=LEFT('112'!$M$9,2),B1610&lt;'112'!$N$8,$L1610='112'!$I$6)),"x",""))</f>
        <v/>
      </c>
      <c r="T1610" s="55" t="str">
        <f>IF(ISERROR(FIND('112'!$M$9,G1610,1)),"",IF((AND(RIGHT(G1610,2)=RIGHT('112'!$M$9,2),B1610&lt;'112'!$N$8,$M1610='112'!$I$6)),"x",""))</f>
        <v/>
      </c>
      <c r="U1610" s="55" t="str">
        <f>IF(AND('3411-CT'!$F$9=H1610,OR(LEFT(L1610,3)=$U$7,LEFT(M1610,3)=$U$7)),"x","")</f>
        <v/>
      </c>
      <c r="V1610" s="55" t="str">
        <f>IF(OR(TH!L1610=TH!$V$7,M1610=TH!$V$7),"x","")</f>
        <v/>
      </c>
      <c r="W1610" s="55" t="str">
        <f>IF(AND(OR(L1610="131",M1610="131"),H1610='131-CT'!$E$7),"x","")</f>
        <v/>
      </c>
      <c r="X1610" s="55" t="str">
        <f>IF(AND(B1610&gt;='IN-NX'!$P$3,B1610&lt;='IN-NX'!$Q$3,'IN-NX'!$D$7=D1610,OR(LEFT(TH!L1610,2)="15",LEFT(TH!M1610,2)="15")),"x","")</f>
        <v/>
      </c>
      <c r="Y1610" s="55" t="str">
        <f>IF(AND(OR(LEFT(TH!L1610,2)="15",LEFT(TH!M1610,2)="15"),'152-CT'!$J$8=TH!F1610),"x","")</f>
        <v/>
      </c>
      <c r="Z1610" s="55" t="str">
        <f>IF(AND(OR(LEFT(TH!L1610,2)="15",LEFT(TH!M1610,2)="15"),TK!$E$7=TH!F1610),"x","")</f>
        <v/>
      </c>
      <c r="AA1610" s="55" t="str">
        <f>IF(AND(B1610&lt;=NKC!$N$8,B1610&gt;=NKC!$M$8),"x","")</f>
        <v/>
      </c>
    </row>
    <row r="1611" spans="1:27" s="226" customFormat="1" ht="15.75" customHeight="1">
      <c r="A1611" s="219" t="str">
        <f>IF(B1611&lt;&gt;"",IF(AND(B1611&gt;=_TM1,B1611&lt;=_TM2,OR(TH!L1611="1111",TH!M1611="1111")),TH!D1611,""),"")</f>
        <v/>
      </c>
      <c r="B1611" s="36" t="str">
        <f t="shared" si="60"/>
        <v/>
      </c>
      <c r="C1611" s="37"/>
      <c r="D1611" s="37"/>
      <c r="E1611" s="37"/>
      <c r="F1611" s="40"/>
      <c r="G1611" s="580"/>
      <c r="H1611" s="45"/>
      <c r="I1611" s="277"/>
      <c r="J1611" s="277"/>
      <c r="K1611" s="38"/>
      <c r="L1611" s="39"/>
      <c r="M1611" s="39"/>
      <c r="N1611" s="55" t="str">
        <f>IF(AND('331-CT'!$E$7=TH!H1611,OR(L1611="331",M1611="331")),"x","")</f>
        <v/>
      </c>
      <c r="O1611" s="55" t="str">
        <f>IF(AND($B1611&gt;='111'!$N$11,$B1611&lt;='111'!$O$11,OR($L1611=$O$7,$M1611=$O$7)),"x","")</f>
        <v/>
      </c>
      <c r="P1611" s="55" t="str">
        <f>IF(AND($L1611=$O$7,$B1611&lt;'111'!$N$11),"x","")</f>
        <v/>
      </c>
      <c r="Q1611" s="55" t="str">
        <f>IF(AND($M1611=$O$7,$B1611&lt;'111'!$N$11),"x","")</f>
        <v/>
      </c>
      <c r="R1611" s="55" t="str">
        <f>IF(ISERROR(FIND('112'!$M$9,G1611,1)),"",IF((AND(FIND('112'!$M$9,G1611,1)&gt;=1,$B1611&gt;='112'!$N$8,$B1611&lt;='112'!$O$8,OR($L1611='112'!$I$6,$M1611='112'!$I$6))),"x",""))</f>
        <v/>
      </c>
      <c r="S1611" s="55" t="str">
        <f>IF(ISERROR(FIND('112'!$M$9,G1611,1)),"",IF((AND(LEFT(G1611,2)=LEFT('112'!$M$9,2),B1611&lt;'112'!$N$8,$L1611='112'!$I$6)),"x",""))</f>
        <v/>
      </c>
      <c r="T1611" s="55" t="str">
        <f>IF(ISERROR(FIND('112'!$M$9,G1611,1)),"",IF((AND(RIGHT(G1611,2)=RIGHT('112'!$M$9,2),B1611&lt;'112'!$N$8,$M1611='112'!$I$6)),"x",""))</f>
        <v/>
      </c>
      <c r="U1611" s="55" t="str">
        <f>IF(AND('3411-CT'!$F$9=H1611,OR(LEFT(L1611,3)=$U$7,LEFT(M1611,3)=$U$7)),"x","")</f>
        <v/>
      </c>
      <c r="V1611" s="55" t="str">
        <f>IF(OR(TH!L1611=TH!$V$7,M1611=TH!$V$7),"x","")</f>
        <v/>
      </c>
      <c r="W1611" s="55" t="str">
        <f>IF(AND(OR(L1611="131",M1611="131"),H1611='131-CT'!$E$7),"x","")</f>
        <v/>
      </c>
      <c r="X1611" s="55" t="str">
        <f>IF(AND(B1611&gt;='IN-NX'!$P$3,B1611&lt;='IN-NX'!$Q$3,'IN-NX'!$D$7=D1611,OR(LEFT(TH!L1611,2)="15",LEFT(TH!M1611,2)="15")),"x","")</f>
        <v/>
      </c>
      <c r="Y1611" s="55" t="str">
        <f>IF(AND(OR(LEFT(TH!L1611,2)="15",LEFT(TH!M1611,2)="15"),'152-CT'!$J$8=TH!F1611),"x","")</f>
        <v/>
      </c>
      <c r="Z1611" s="55" t="str">
        <f>IF(AND(OR(LEFT(TH!L1611,2)="15",LEFT(TH!M1611,2)="15"),TK!$E$7=TH!F1611),"x","")</f>
        <v/>
      </c>
      <c r="AA1611" s="55" t="str">
        <f>IF(AND(B1611&lt;=NKC!$N$8,B1611&gt;=NKC!$M$8),"x","")</f>
        <v/>
      </c>
    </row>
    <row r="1612" spans="1:27" s="226" customFormat="1" ht="15.75" customHeight="1">
      <c r="A1612" s="219" t="str">
        <f>IF(B1612&lt;&gt;"",IF(AND(B1612&gt;=_TM1,B1612&lt;=_TM2,OR(TH!L1612="1111",TH!M1612="1111")),TH!D1612,""),"")</f>
        <v/>
      </c>
      <c r="B1612" s="36" t="str">
        <f t="shared" si="60"/>
        <v/>
      </c>
      <c r="C1612" s="37"/>
      <c r="D1612" s="37"/>
      <c r="E1612" s="37"/>
      <c r="F1612" s="40"/>
      <c r="G1612" s="580"/>
      <c r="H1612" s="45"/>
      <c r="I1612" s="277"/>
      <c r="J1612" s="277"/>
      <c r="K1612" s="38"/>
      <c r="L1612" s="39"/>
      <c r="M1612" s="39"/>
      <c r="N1612" s="55" t="str">
        <f>IF(AND('331-CT'!$E$7=TH!H1612,OR(L1612="331",M1612="331")),"x","")</f>
        <v/>
      </c>
      <c r="O1612" s="55" t="str">
        <f>IF(AND($B1612&gt;='111'!$N$11,$B1612&lt;='111'!$O$11,OR($L1612=$O$7,$M1612=$O$7)),"x","")</f>
        <v/>
      </c>
      <c r="P1612" s="55" t="str">
        <f>IF(AND($L1612=$O$7,$B1612&lt;'111'!$N$11),"x","")</f>
        <v/>
      </c>
      <c r="Q1612" s="55" t="str">
        <f>IF(AND($M1612=$O$7,$B1612&lt;'111'!$N$11),"x","")</f>
        <v/>
      </c>
      <c r="R1612" s="55" t="str">
        <f>IF(ISERROR(FIND('112'!$M$9,G1612,1)),"",IF((AND(FIND('112'!$M$9,G1612,1)&gt;=1,$B1612&gt;='112'!$N$8,$B1612&lt;='112'!$O$8,OR($L1612='112'!$I$6,$M1612='112'!$I$6))),"x",""))</f>
        <v/>
      </c>
      <c r="S1612" s="55" t="str">
        <f>IF(ISERROR(FIND('112'!$M$9,G1612,1)),"",IF((AND(LEFT(G1612,2)=LEFT('112'!$M$9,2),B1612&lt;'112'!$N$8,$L1612='112'!$I$6)),"x",""))</f>
        <v/>
      </c>
      <c r="T1612" s="55" t="str">
        <f>IF(ISERROR(FIND('112'!$M$9,G1612,1)),"",IF((AND(RIGHT(G1612,2)=RIGHT('112'!$M$9,2),B1612&lt;'112'!$N$8,$M1612='112'!$I$6)),"x",""))</f>
        <v/>
      </c>
      <c r="U1612" s="55" t="str">
        <f>IF(AND('3411-CT'!$F$9=H1612,OR(LEFT(L1612,3)=$U$7,LEFT(M1612,3)=$U$7)),"x","")</f>
        <v/>
      </c>
      <c r="V1612" s="55" t="str">
        <f>IF(OR(TH!L1612=TH!$V$7,M1612=TH!$V$7),"x","")</f>
        <v/>
      </c>
      <c r="W1612" s="55" t="str">
        <f>IF(AND(OR(L1612="131",M1612="131"),H1612='131-CT'!$E$7),"x","")</f>
        <v/>
      </c>
      <c r="X1612" s="55" t="str">
        <f>IF(AND(B1612&gt;='IN-NX'!$P$3,B1612&lt;='IN-NX'!$Q$3,'IN-NX'!$D$7=D1612,OR(LEFT(TH!L1612,2)="15",LEFT(TH!M1612,2)="15")),"x","")</f>
        <v/>
      </c>
      <c r="Y1612" s="55" t="str">
        <f>IF(AND(OR(LEFT(TH!L1612,2)="15",LEFT(TH!M1612,2)="15"),'152-CT'!$J$8=TH!F1612),"x","")</f>
        <v/>
      </c>
      <c r="Z1612" s="55" t="str">
        <f>IF(AND(OR(LEFT(TH!L1612,2)="15",LEFT(TH!M1612,2)="15"),TK!$E$7=TH!F1612),"x","")</f>
        <v/>
      </c>
      <c r="AA1612" s="55" t="str">
        <f>IF(AND(B1612&lt;=NKC!$N$8,B1612&gt;=NKC!$M$8),"x","")</f>
        <v/>
      </c>
    </row>
    <row r="1613" spans="1:27" s="226" customFormat="1" ht="15.75" customHeight="1">
      <c r="A1613" s="219" t="str">
        <f>IF(B1613&lt;&gt;"",IF(AND(B1613&gt;=_TM1,B1613&lt;=_TM2,OR(TH!L1613="1111",TH!M1613="1111")),TH!D1613,""),"")</f>
        <v/>
      </c>
      <c r="B1613" s="36" t="str">
        <f t="shared" si="60"/>
        <v/>
      </c>
      <c r="C1613" s="37"/>
      <c r="D1613" s="37"/>
      <c r="E1613" s="205"/>
      <c r="F1613" s="206"/>
      <c r="G1613" s="40"/>
      <c r="H1613" s="45"/>
      <c r="I1613" s="277"/>
      <c r="J1613" s="277"/>
      <c r="K1613" s="38"/>
      <c r="L1613" s="208"/>
      <c r="M1613" s="208"/>
      <c r="N1613" s="55" t="str">
        <f>IF(AND('331-CT'!$E$7=TH!H1613,OR(L1613="331",M1613="331")),"x","")</f>
        <v/>
      </c>
      <c r="O1613" s="55" t="str">
        <f>IF(AND($B1613&gt;='111'!$N$11,$B1613&lt;='111'!$O$11,OR($L1613=$O$7,$M1613=$O$7)),"x","")</f>
        <v/>
      </c>
      <c r="P1613" s="55" t="str">
        <f>IF(AND($L1613=$O$7,$B1613&lt;'111'!$N$11),"x","")</f>
        <v/>
      </c>
      <c r="Q1613" s="55" t="str">
        <f>IF(AND($M1613=$O$7,$B1613&lt;'111'!$N$11),"x","")</f>
        <v/>
      </c>
      <c r="R1613" s="55" t="str">
        <f>IF(ISERROR(FIND('112'!$M$9,G1613,1)),"",IF((AND(FIND('112'!$M$9,G1613,1)&gt;=1,$B1613&gt;='112'!$N$8,$B1613&lt;='112'!$O$8,OR($L1613='112'!$I$6,$M1613='112'!$I$6))),"x",""))</f>
        <v/>
      </c>
      <c r="S1613" s="55" t="str">
        <f>IF(ISERROR(FIND('112'!$M$9,G1613,1)),"",IF((AND(LEFT(G1613,2)=LEFT('112'!$M$9,2),B1613&lt;'112'!$N$8,$L1613='112'!$I$6)),"x",""))</f>
        <v/>
      </c>
      <c r="T1613" s="55" t="str">
        <f>IF(ISERROR(FIND('112'!$M$9,G1613,1)),"",IF((AND(RIGHT(G1613,2)=RIGHT('112'!$M$9,2),B1613&lt;'112'!$N$8,$M1613='112'!$I$6)),"x",""))</f>
        <v/>
      </c>
      <c r="U1613" s="55" t="str">
        <f>IF(AND('3411-CT'!$F$9=H1613,OR(LEFT(L1613,3)=$U$7,LEFT(M1613,3)=$U$7)),"x","")</f>
        <v/>
      </c>
      <c r="V1613" s="55" t="str">
        <f>IF(OR(TH!L1613=TH!$V$7,M1613=TH!$V$7),"x","")</f>
        <v/>
      </c>
      <c r="W1613" s="55" t="str">
        <f>IF(AND(OR(L1613="131",M1613="131"),H1613='131-CT'!$E$7),"x","")</f>
        <v/>
      </c>
      <c r="X1613" s="55" t="str">
        <f>IF(AND(B1613&gt;='IN-NX'!$P$3,B1613&lt;='IN-NX'!$Q$3,'IN-NX'!$D$7=D1613,OR(LEFT(TH!L1613,2)="15",LEFT(TH!M1613,2)="15")),"x","")</f>
        <v/>
      </c>
      <c r="Y1613" s="55" t="str">
        <f>IF(AND(OR(LEFT(TH!L1613,2)="15",LEFT(TH!M1613,2)="15"),'152-CT'!$J$8=TH!F1613),"x","")</f>
        <v/>
      </c>
      <c r="Z1613" s="55" t="str">
        <f>IF(AND(OR(LEFT(TH!L1613,2)="15",LEFT(TH!M1613,2)="15"),TK!$E$7=TH!F1613),"x","")</f>
        <v/>
      </c>
      <c r="AA1613" s="55" t="str">
        <f>IF(AND(B1613&lt;=NKC!$N$8,B1613&gt;=NKC!$M$8),"x","")</f>
        <v/>
      </c>
    </row>
    <row r="1614" spans="1:27" ht="15.75" customHeight="1">
      <c r="A1614" s="219" t="str">
        <f>IF(B1614&lt;&gt;"",IF(AND(B1614&gt;=_TM1,B1614&lt;=_TM2,OR(TH!L1614="1111",TH!M1614="1111")),TH!D1614,""),"")</f>
        <v/>
      </c>
      <c r="B1614" s="36" t="str">
        <f t="shared" si="60"/>
        <v/>
      </c>
      <c r="C1614" s="37"/>
      <c r="D1614" s="205"/>
      <c r="E1614" s="205"/>
      <c r="F1614" s="206"/>
      <c r="G1614" s="206"/>
      <c r="H1614" s="207"/>
      <c r="I1614" s="277"/>
      <c r="J1614" s="277"/>
      <c r="K1614" s="38"/>
      <c r="L1614" s="208"/>
      <c r="M1614" s="208"/>
      <c r="N1614" s="55" t="str">
        <f>IF(AND('331-CT'!$E$7=TH!H1614,OR(L1614="331",M1614="331")),"x","")</f>
        <v/>
      </c>
      <c r="O1614" s="55" t="str">
        <f>IF(AND($B1614&gt;='111'!$N$11,$B1614&lt;='111'!$O$11,OR($L1614=$O$7,$M1614=$O$7)),"x","")</f>
        <v/>
      </c>
      <c r="P1614" s="55" t="str">
        <f>IF(AND($L1614=$O$7,$B1614&lt;'111'!$N$11),"x","")</f>
        <v/>
      </c>
      <c r="Q1614" s="55" t="str">
        <f>IF(AND($M1614=$O$7,$B1614&lt;'111'!$N$11),"x","")</f>
        <v/>
      </c>
      <c r="R1614" s="55" t="str">
        <f>IF(ISERROR(FIND('112'!$M$9,G1614,1)),"",IF((AND(FIND('112'!$M$9,G1614,1)&gt;=1,$B1614&gt;='112'!$N$8,$B1614&lt;='112'!$O$8,OR($L1614='112'!$I$6,$M1614='112'!$I$6))),"x",""))</f>
        <v/>
      </c>
      <c r="S1614" s="55" t="str">
        <f>IF(ISERROR(FIND('112'!$M$9,G1614,1)),"",IF((AND(LEFT(G1614,2)=LEFT('112'!$M$9,2),B1614&lt;'112'!$N$8,$L1614='112'!$I$6)),"x",""))</f>
        <v/>
      </c>
      <c r="T1614" s="55" t="str">
        <f>IF(ISERROR(FIND('112'!$M$9,G1614,1)),"",IF((AND(RIGHT(G1614,2)=RIGHT('112'!$M$9,2),B1614&lt;'112'!$N$8,$M1614='112'!$I$6)),"x",""))</f>
        <v/>
      </c>
      <c r="U1614" s="55" t="str">
        <f>IF(AND('3411-CT'!$F$9=H1614,OR(LEFT(L1614,3)=$U$7,LEFT(M1614,3)=$U$7)),"x","")</f>
        <v/>
      </c>
      <c r="V1614" s="55" t="str">
        <f>IF(OR(TH!L1614=TH!$V$7,M1614=TH!$V$7),"x","")</f>
        <v/>
      </c>
      <c r="W1614" s="55" t="str">
        <f>IF(AND(OR(L1614="131",M1614="131"),H1614='131-CT'!$E$7),"x","")</f>
        <v/>
      </c>
      <c r="X1614" s="55" t="str">
        <f>IF(AND(B1614&gt;='IN-NX'!$P$3,B1614&lt;='IN-NX'!$Q$3,'IN-NX'!$D$7=D1614,OR(LEFT(TH!L1614,2)="15",LEFT(TH!M1614,2)="15")),"x","")</f>
        <v/>
      </c>
      <c r="Y1614" s="55" t="str">
        <f>IF(AND(OR(LEFT(TH!L1614,2)="15",LEFT(TH!M1614,2)="15"),'152-CT'!$J$8=TH!F1614),"x","")</f>
        <v/>
      </c>
      <c r="Z1614" s="55" t="str">
        <f>IF(AND(OR(LEFT(TH!L1614,2)="15",LEFT(TH!M1614,2)="15"),TK!$E$7=TH!F1614),"x","")</f>
        <v/>
      </c>
      <c r="AA1614" s="55" t="str">
        <f>IF(AND(B1614&lt;=NKC!$N$8,B1614&gt;=NKC!$M$8),"x","")</f>
        <v/>
      </c>
    </row>
    <row r="1615" spans="1:27" ht="15.75" customHeight="1">
      <c r="A1615" s="219" t="str">
        <f>IF(B1615&lt;&gt;"",IF(AND(B1615&gt;=_TM1,B1615&lt;=_TM2,OR(TH!L1615="1111",TH!M1615="1111")),TH!D1615,""),"")</f>
        <v/>
      </c>
      <c r="B1615" s="36" t="str">
        <f t="shared" si="60"/>
        <v/>
      </c>
      <c r="C1615" s="37"/>
      <c r="D1615" s="205"/>
      <c r="E1615" s="205"/>
      <c r="F1615" s="206"/>
      <c r="G1615" s="206"/>
      <c r="H1615" s="207"/>
      <c r="I1615" s="277"/>
      <c r="J1615" s="277"/>
      <c r="K1615" s="38"/>
      <c r="L1615" s="208"/>
      <c r="M1615" s="208"/>
      <c r="N1615" s="55" t="str">
        <f>IF(AND('331-CT'!$E$7=TH!H1615,OR(L1615="331",M1615="331")),"x","")</f>
        <v/>
      </c>
      <c r="O1615" s="55" t="str">
        <f>IF(AND($B1615&gt;='111'!$N$11,$B1615&lt;='111'!$O$11,OR($L1615=$O$7,$M1615=$O$7)),"x","")</f>
        <v/>
      </c>
      <c r="P1615" s="55" t="str">
        <f>IF(AND($L1615=$O$7,$B1615&lt;'111'!$N$11),"x","")</f>
        <v/>
      </c>
      <c r="Q1615" s="55" t="str">
        <f>IF(AND($M1615=$O$7,$B1615&lt;'111'!$N$11),"x","")</f>
        <v/>
      </c>
      <c r="R1615" s="55" t="str">
        <f>IF(ISERROR(FIND('112'!$M$9,G1615,1)),"",IF((AND(FIND('112'!$M$9,G1615,1)&gt;=1,$B1615&gt;='112'!$N$8,$B1615&lt;='112'!$O$8,OR($L1615='112'!$I$6,$M1615='112'!$I$6))),"x",""))</f>
        <v/>
      </c>
      <c r="S1615" s="55" t="str">
        <f>IF(ISERROR(FIND('112'!$M$9,G1615,1)),"",IF((AND(LEFT(G1615,2)=LEFT('112'!$M$9,2),B1615&lt;'112'!$N$8,$L1615='112'!$I$6)),"x",""))</f>
        <v/>
      </c>
      <c r="T1615" s="55" t="str">
        <f>IF(ISERROR(FIND('112'!$M$9,G1615,1)),"",IF((AND(RIGHT(G1615,2)=RIGHT('112'!$M$9,2),B1615&lt;'112'!$N$8,$M1615='112'!$I$6)),"x",""))</f>
        <v/>
      </c>
      <c r="U1615" s="55" t="str">
        <f>IF(AND('3411-CT'!$F$9=H1615,OR(LEFT(L1615,3)=$U$7,LEFT(M1615,3)=$U$7)),"x","")</f>
        <v/>
      </c>
      <c r="V1615" s="55" t="str">
        <f>IF(OR(TH!L1615=TH!$V$7,M1615=TH!$V$7),"x","")</f>
        <v/>
      </c>
      <c r="W1615" s="55" t="str">
        <f>IF(AND(OR(L1615="131",M1615="131"),H1615='131-CT'!$E$7),"x","")</f>
        <v/>
      </c>
      <c r="X1615" s="55" t="str">
        <f>IF(AND(B1615&gt;='IN-NX'!$P$3,B1615&lt;='IN-NX'!$Q$3,'IN-NX'!$D$7=D1615,OR(LEFT(TH!L1615,2)="15",LEFT(TH!M1615,2)="15")),"x","")</f>
        <v/>
      </c>
      <c r="Y1615" s="55" t="str">
        <f>IF(AND(OR(LEFT(TH!L1615,2)="15",LEFT(TH!M1615,2)="15"),'152-CT'!$J$8=TH!F1615),"x","")</f>
        <v/>
      </c>
      <c r="Z1615" s="55" t="str">
        <f>IF(AND(OR(LEFT(TH!L1615,2)="15",LEFT(TH!M1615,2)="15"),TK!$E$7=TH!F1615),"x","")</f>
        <v/>
      </c>
      <c r="AA1615" s="55" t="str">
        <f>IF(AND(B1615&lt;=NKC!$N$8,B1615&gt;=NKC!$M$8),"x","")</f>
        <v/>
      </c>
    </row>
    <row r="1616" spans="1:27" ht="15.75" customHeight="1">
      <c r="A1616" s="219" t="str">
        <f>IF(B1616&lt;&gt;"",IF(AND(B1616&gt;=_TM1,B1616&lt;=_TM2,OR(TH!L1616="1111",TH!M1616="1111")),TH!D1616,""),"")</f>
        <v/>
      </c>
      <c r="B1616" s="36" t="str">
        <f t="shared" si="60"/>
        <v/>
      </c>
      <c r="C1616" s="37"/>
      <c r="D1616" s="205"/>
      <c r="E1616" s="205"/>
      <c r="F1616" s="206"/>
      <c r="G1616" s="206"/>
      <c r="H1616" s="207"/>
      <c r="I1616" s="277"/>
      <c r="J1616" s="277"/>
      <c r="K1616" s="38"/>
      <c r="L1616" s="208"/>
      <c r="M1616" s="208"/>
      <c r="N1616" s="55" t="str">
        <f>IF(AND('331-CT'!$E$7=TH!H1616,OR(L1616="331",M1616="331")),"x","")</f>
        <v/>
      </c>
      <c r="O1616" s="55" t="str">
        <f>IF(AND($B1616&gt;='111'!$N$11,$B1616&lt;='111'!$O$11,OR($L1616=$O$7,$M1616=$O$7)),"x","")</f>
        <v/>
      </c>
      <c r="P1616" s="55" t="str">
        <f>IF(AND($L1616=$O$7,$B1616&lt;'111'!$N$11),"x","")</f>
        <v/>
      </c>
      <c r="Q1616" s="55" t="str">
        <f>IF(AND($M1616=$O$7,$B1616&lt;'111'!$N$11),"x","")</f>
        <v/>
      </c>
      <c r="R1616" s="55" t="str">
        <f>IF(ISERROR(FIND('112'!$M$9,G1616,1)),"",IF((AND(FIND('112'!$M$9,G1616,1)&gt;=1,$B1616&gt;='112'!$N$8,$B1616&lt;='112'!$O$8,OR($L1616='112'!$I$6,$M1616='112'!$I$6))),"x",""))</f>
        <v/>
      </c>
      <c r="S1616" s="55" t="str">
        <f>IF(ISERROR(FIND('112'!$M$9,G1616,1)),"",IF((AND(LEFT(G1616,2)=LEFT('112'!$M$9,2),B1616&lt;'112'!$N$8,$L1616='112'!$I$6)),"x",""))</f>
        <v/>
      </c>
      <c r="T1616" s="55" t="str">
        <f>IF(ISERROR(FIND('112'!$M$9,G1616,1)),"",IF((AND(RIGHT(G1616,2)=RIGHT('112'!$M$9,2),B1616&lt;'112'!$N$8,$M1616='112'!$I$6)),"x",""))</f>
        <v/>
      </c>
      <c r="U1616" s="55" t="str">
        <f>IF(AND('3411-CT'!$F$9=H1616,OR(LEFT(L1616,3)=$U$7,LEFT(M1616,3)=$U$7)),"x","")</f>
        <v/>
      </c>
      <c r="V1616" s="55" t="str">
        <f>IF(OR(TH!L1616=TH!$V$7,M1616=TH!$V$7),"x","")</f>
        <v/>
      </c>
      <c r="W1616" s="55" t="str">
        <f>IF(AND(OR(L1616="131",M1616="131"),H1616='131-CT'!$E$7),"x","")</f>
        <v/>
      </c>
      <c r="X1616" s="55" t="str">
        <f>IF(AND(B1616&gt;='IN-NX'!$P$3,B1616&lt;='IN-NX'!$Q$3,'IN-NX'!$D$7=D1616,OR(LEFT(TH!L1616,2)="15",LEFT(TH!M1616,2)="15")),"x","")</f>
        <v/>
      </c>
      <c r="Y1616" s="55" t="str">
        <f>IF(AND(OR(LEFT(TH!L1616,2)="15",LEFT(TH!M1616,2)="15"),'152-CT'!$J$8=TH!F1616),"x","")</f>
        <v/>
      </c>
      <c r="Z1616" s="55" t="str">
        <f>IF(AND(OR(LEFT(TH!L1616,2)="15",LEFT(TH!M1616,2)="15"),TK!$E$7=TH!F1616),"x","")</f>
        <v/>
      </c>
      <c r="AA1616" s="55" t="str">
        <f>IF(AND(B1616&lt;=NKC!$N$8,B1616&gt;=NKC!$M$8),"x","")</f>
        <v/>
      </c>
    </row>
    <row r="1617" spans="1:27" ht="15.75" customHeight="1">
      <c r="A1617" s="219" t="str">
        <f>IF(B1617&lt;&gt;"",IF(AND(B1617&gt;=_TM1,B1617&lt;=_TM2,OR(TH!L1617="1111",TH!M1617="1111")),TH!D1617,""),"")</f>
        <v/>
      </c>
      <c r="B1617" s="36" t="str">
        <f t="shared" si="60"/>
        <v/>
      </c>
      <c r="C1617" s="37"/>
      <c r="D1617" s="205"/>
      <c r="E1617" s="205"/>
      <c r="F1617" s="206"/>
      <c r="G1617" s="206"/>
      <c r="H1617" s="207"/>
      <c r="I1617" s="277"/>
      <c r="J1617" s="277"/>
      <c r="K1617" s="38"/>
      <c r="L1617" s="208"/>
      <c r="M1617" s="208"/>
      <c r="N1617" s="55" t="str">
        <f>IF(AND('331-CT'!$E$7=TH!H1617,OR(L1617="331",M1617="331")),"x","")</f>
        <v/>
      </c>
      <c r="O1617" s="55" t="str">
        <f>IF(AND($B1617&gt;='111'!$N$11,$B1617&lt;='111'!$O$11,OR($L1617=$O$7,$M1617=$O$7)),"x","")</f>
        <v/>
      </c>
      <c r="P1617" s="55" t="str">
        <f>IF(AND($L1617=$O$7,$B1617&lt;'111'!$N$11),"x","")</f>
        <v/>
      </c>
      <c r="Q1617" s="55" t="str">
        <f>IF(AND($M1617=$O$7,$B1617&lt;'111'!$N$11),"x","")</f>
        <v/>
      </c>
      <c r="R1617" s="55" t="str">
        <f>IF(ISERROR(FIND('112'!$M$9,G1617,1)),"",IF((AND(FIND('112'!$M$9,G1617,1)&gt;=1,$B1617&gt;='112'!$N$8,$B1617&lt;='112'!$O$8,OR($L1617='112'!$I$6,$M1617='112'!$I$6))),"x",""))</f>
        <v/>
      </c>
      <c r="S1617" s="55" t="str">
        <f>IF(ISERROR(FIND('112'!$M$9,G1617,1)),"",IF((AND(LEFT(G1617,2)=LEFT('112'!$M$9,2),B1617&lt;'112'!$N$8,$L1617='112'!$I$6)),"x",""))</f>
        <v/>
      </c>
      <c r="T1617" s="55" t="str">
        <f>IF(ISERROR(FIND('112'!$M$9,G1617,1)),"",IF((AND(RIGHT(G1617,2)=RIGHT('112'!$M$9,2),B1617&lt;'112'!$N$8,$M1617='112'!$I$6)),"x",""))</f>
        <v/>
      </c>
      <c r="U1617" s="55" t="str">
        <f>IF(AND('3411-CT'!$F$9=H1617,OR(LEFT(L1617,3)=$U$7,LEFT(M1617,3)=$U$7)),"x","")</f>
        <v/>
      </c>
      <c r="V1617" s="55" t="str">
        <f>IF(OR(TH!L1617=TH!$V$7,M1617=TH!$V$7),"x","")</f>
        <v/>
      </c>
      <c r="W1617" s="55" t="str">
        <f>IF(AND(OR(L1617="131",M1617="131"),H1617='131-CT'!$E$7),"x","")</f>
        <v/>
      </c>
      <c r="X1617" s="55" t="str">
        <f>IF(AND(B1617&gt;='IN-NX'!$P$3,B1617&lt;='IN-NX'!$Q$3,'IN-NX'!$D$7=D1617,OR(LEFT(TH!L1617,2)="15",LEFT(TH!M1617,2)="15")),"x","")</f>
        <v/>
      </c>
      <c r="Y1617" s="55" t="str">
        <f>IF(AND(OR(LEFT(TH!L1617,2)="15",LEFT(TH!M1617,2)="15"),'152-CT'!$J$8=TH!F1617),"x","")</f>
        <v/>
      </c>
      <c r="Z1617" s="55" t="str">
        <f>IF(AND(OR(LEFT(TH!L1617,2)="15",LEFT(TH!M1617,2)="15"),TK!$E$7=TH!F1617),"x","")</f>
        <v/>
      </c>
      <c r="AA1617" s="55" t="str">
        <f>IF(AND(B1617&lt;=NKC!$N$8,B1617&gt;=NKC!$M$8),"x","")</f>
        <v/>
      </c>
    </row>
    <row r="1618" spans="1:27" ht="15.75" customHeight="1">
      <c r="A1618" s="219" t="str">
        <f>IF(B1618&lt;&gt;"",IF(AND(B1618&gt;=_TM1,B1618&lt;=_TM2,OR(TH!L1618="1111",TH!M1618="1111")),TH!D1618,""),"")</f>
        <v/>
      </c>
      <c r="B1618" s="36" t="str">
        <f t="shared" si="60"/>
        <v/>
      </c>
      <c r="C1618" s="37"/>
      <c r="D1618" s="205"/>
      <c r="E1618" s="205"/>
      <c r="F1618" s="206"/>
      <c r="G1618" s="206"/>
      <c r="H1618" s="207"/>
      <c r="I1618" s="277"/>
      <c r="J1618" s="277"/>
      <c r="K1618" s="38"/>
      <c r="L1618" s="208"/>
      <c r="M1618" s="208"/>
      <c r="N1618" s="55" t="str">
        <f>IF(AND('331-CT'!$E$7=TH!H1618,OR(L1618="331",M1618="331")),"x","")</f>
        <v/>
      </c>
      <c r="O1618" s="55" t="str">
        <f>IF(AND($B1618&gt;='111'!$N$11,$B1618&lt;='111'!$O$11,OR($L1618=$O$7,$M1618=$O$7)),"x","")</f>
        <v/>
      </c>
      <c r="P1618" s="55" t="str">
        <f>IF(AND($L1618=$O$7,$B1618&lt;'111'!$N$11),"x","")</f>
        <v/>
      </c>
      <c r="Q1618" s="55" t="str">
        <f>IF(AND($M1618=$O$7,$B1618&lt;'111'!$N$11),"x","")</f>
        <v/>
      </c>
      <c r="R1618" s="55" t="str">
        <f>IF(ISERROR(FIND('112'!$M$9,G1618,1)),"",IF((AND(FIND('112'!$M$9,G1618,1)&gt;=1,$B1618&gt;='112'!$N$8,$B1618&lt;='112'!$O$8,OR($L1618='112'!$I$6,$M1618='112'!$I$6))),"x",""))</f>
        <v/>
      </c>
      <c r="S1618" s="55" t="str">
        <f>IF(ISERROR(FIND('112'!$M$9,G1618,1)),"",IF((AND(LEFT(G1618,2)=LEFT('112'!$M$9,2),B1618&lt;'112'!$N$8,$L1618='112'!$I$6)),"x",""))</f>
        <v/>
      </c>
      <c r="T1618" s="55" t="str">
        <f>IF(ISERROR(FIND('112'!$M$9,G1618,1)),"",IF((AND(RIGHT(G1618,2)=RIGHT('112'!$M$9,2),B1618&lt;'112'!$N$8,$M1618='112'!$I$6)),"x",""))</f>
        <v/>
      </c>
      <c r="U1618" s="55" t="str">
        <f>IF(AND('3411-CT'!$F$9=H1618,OR(LEFT(L1618,3)=$U$7,LEFT(M1618,3)=$U$7)),"x","")</f>
        <v/>
      </c>
      <c r="V1618" s="55" t="str">
        <f>IF(OR(TH!L1618=TH!$V$7,M1618=TH!$V$7),"x","")</f>
        <v/>
      </c>
      <c r="W1618" s="55" t="str">
        <f>IF(AND(OR(L1618="131",M1618="131"),H1618='131-CT'!$E$7),"x","")</f>
        <v/>
      </c>
      <c r="X1618" s="55" t="str">
        <f>IF(AND(B1618&gt;='IN-NX'!$P$3,B1618&lt;='IN-NX'!$Q$3,'IN-NX'!$D$7=D1618,OR(LEFT(TH!L1618,2)="15",LEFT(TH!M1618,2)="15")),"x","")</f>
        <v/>
      </c>
      <c r="Y1618" s="55" t="str">
        <f>IF(AND(OR(LEFT(TH!L1618,2)="15",LEFT(TH!M1618,2)="15"),'152-CT'!$J$8=TH!F1618),"x","")</f>
        <v/>
      </c>
      <c r="Z1618" s="55" t="str">
        <f>IF(AND(OR(LEFT(TH!L1618,2)="15",LEFT(TH!M1618,2)="15"),TK!$E$7=TH!F1618),"x","")</f>
        <v/>
      </c>
      <c r="AA1618" s="55" t="str">
        <f>IF(AND(B1618&lt;=NKC!$N$8,B1618&gt;=NKC!$M$8),"x","")</f>
        <v/>
      </c>
    </row>
    <row r="1619" spans="1:27" ht="15.75" customHeight="1">
      <c r="A1619" s="219" t="str">
        <f>IF(B1619&lt;&gt;"",IF(AND(B1619&gt;=_TM1,B1619&lt;=_TM2,OR(TH!L1619="1111",TH!M1619="1111")),TH!D1619,""),"")</f>
        <v/>
      </c>
      <c r="B1619" s="36" t="str">
        <f t="shared" si="60"/>
        <v/>
      </c>
      <c r="C1619" s="37"/>
      <c r="D1619" s="205"/>
      <c r="E1619" s="205"/>
      <c r="F1619" s="206"/>
      <c r="G1619" s="206"/>
      <c r="H1619" s="207"/>
      <c r="I1619" s="277"/>
      <c r="J1619" s="277"/>
      <c r="K1619" s="38"/>
      <c r="L1619" s="208"/>
      <c r="M1619" s="208"/>
      <c r="N1619" s="55" t="str">
        <f>IF(AND('331-CT'!$E$7=TH!H1619,OR(L1619="331",M1619="331")),"x","")</f>
        <v/>
      </c>
      <c r="O1619" s="55" t="str">
        <f>IF(AND($B1619&gt;='111'!$N$11,$B1619&lt;='111'!$O$11,OR($L1619=$O$7,$M1619=$O$7)),"x","")</f>
        <v/>
      </c>
      <c r="P1619" s="55" t="str">
        <f>IF(AND($L1619=$O$7,$B1619&lt;'111'!$N$11),"x","")</f>
        <v/>
      </c>
      <c r="Q1619" s="55" t="str">
        <f>IF(AND($M1619=$O$7,$B1619&lt;'111'!$N$11),"x","")</f>
        <v/>
      </c>
      <c r="R1619" s="55" t="str">
        <f>IF(ISERROR(FIND('112'!$M$9,G1619,1)),"",IF((AND(FIND('112'!$M$9,G1619,1)&gt;=1,$B1619&gt;='112'!$N$8,$B1619&lt;='112'!$O$8,OR($L1619='112'!$I$6,$M1619='112'!$I$6))),"x",""))</f>
        <v/>
      </c>
      <c r="S1619" s="55" t="str">
        <f>IF(ISERROR(FIND('112'!$M$9,G1619,1)),"",IF((AND(LEFT(G1619,2)=LEFT('112'!$M$9,2),B1619&lt;'112'!$N$8,$L1619='112'!$I$6)),"x",""))</f>
        <v/>
      </c>
      <c r="T1619" s="55" t="str">
        <f>IF(ISERROR(FIND('112'!$M$9,G1619,1)),"",IF((AND(RIGHT(G1619,2)=RIGHT('112'!$M$9,2),B1619&lt;'112'!$N$8,$M1619='112'!$I$6)),"x",""))</f>
        <v/>
      </c>
      <c r="U1619" s="55" t="str">
        <f>IF(AND('3411-CT'!$F$9=H1619,OR(LEFT(L1619,3)=$U$7,LEFT(M1619,3)=$U$7)),"x","")</f>
        <v/>
      </c>
      <c r="V1619" s="55" t="str">
        <f>IF(OR(TH!L1619=TH!$V$7,M1619=TH!$V$7),"x","")</f>
        <v/>
      </c>
      <c r="W1619" s="55" t="str">
        <f>IF(AND(OR(L1619="131",M1619="131"),H1619='131-CT'!$E$7),"x","")</f>
        <v/>
      </c>
      <c r="X1619" s="55" t="str">
        <f>IF(AND(B1619&gt;='IN-NX'!$P$3,B1619&lt;='IN-NX'!$Q$3,'IN-NX'!$D$7=D1619,OR(LEFT(TH!L1619,2)="15",LEFT(TH!M1619,2)="15")),"x","")</f>
        <v/>
      </c>
      <c r="Y1619" s="55" t="str">
        <f>IF(AND(OR(LEFT(TH!L1619,2)="15",LEFT(TH!M1619,2)="15"),'152-CT'!$J$8=TH!F1619),"x","")</f>
        <v/>
      </c>
      <c r="Z1619" s="55" t="str">
        <f>IF(AND(OR(LEFT(TH!L1619,2)="15",LEFT(TH!M1619,2)="15"),TK!$E$7=TH!F1619),"x","")</f>
        <v/>
      </c>
      <c r="AA1619" s="55" t="str">
        <f>IF(AND(B1619&lt;=NKC!$N$8,B1619&gt;=NKC!$M$8),"x","")</f>
        <v/>
      </c>
    </row>
    <row r="1620" spans="1:27" ht="15.75" customHeight="1">
      <c r="A1620" s="219" t="str">
        <f>IF(B1620&lt;&gt;"",IF(AND(B1620&gt;=_TM1,B1620&lt;=_TM2,OR(TH!L1620="1111",TH!M1620="1111")),TH!D1620,""),"")</f>
        <v/>
      </c>
      <c r="B1620" s="36" t="str">
        <f t="shared" si="60"/>
        <v/>
      </c>
      <c r="C1620" s="37"/>
      <c r="D1620" s="205"/>
      <c r="E1620" s="205"/>
      <c r="F1620" s="206"/>
      <c r="G1620" s="206"/>
      <c r="H1620" s="207"/>
      <c r="I1620" s="277"/>
      <c r="J1620" s="277"/>
      <c r="K1620" s="38"/>
      <c r="L1620" s="208"/>
      <c r="M1620" s="208"/>
      <c r="N1620" s="55" t="str">
        <f>IF(AND('331-CT'!$E$7=TH!H1620,OR(L1620="331",M1620="331")),"x","")</f>
        <v/>
      </c>
      <c r="O1620" s="55" t="str">
        <f>IF(AND($B1620&gt;='111'!$N$11,$B1620&lt;='111'!$O$11,OR($L1620=$O$7,$M1620=$O$7)),"x","")</f>
        <v/>
      </c>
      <c r="P1620" s="55" t="str">
        <f>IF(AND($L1620=$O$7,$B1620&lt;'111'!$N$11),"x","")</f>
        <v/>
      </c>
      <c r="Q1620" s="55" t="str">
        <f>IF(AND($M1620=$O$7,$B1620&lt;'111'!$N$11),"x","")</f>
        <v/>
      </c>
      <c r="R1620" s="55" t="str">
        <f>IF(ISERROR(FIND('112'!$M$9,G1620,1)),"",IF((AND(FIND('112'!$M$9,G1620,1)&gt;=1,$B1620&gt;='112'!$N$8,$B1620&lt;='112'!$O$8,OR($L1620='112'!$I$6,$M1620='112'!$I$6))),"x",""))</f>
        <v/>
      </c>
      <c r="S1620" s="55" t="str">
        <f>IF(ISERROR(FIND('112'!$M$9,G1620,1)),"",IF((AND(LEFT(G1620,2)=LEFT('112'!$M$9,2),B1620&lt;'112'!$N$8,$L1620='112'!$I$6)),"x",""))</f>
        <v/>
      </c>
      <c r="T1620" s="55" t="str">
        <f>IF(ISERROR(FIND('112'!$M$9,G1620,1)),"",IF((AND(RIGHT(G1620,2)=RIGHT('112'!$M$9,2),B1620&lt;'112'!$N$8,$M1620='112'!$I$6)),"x",""))</f>
        <v/>
      </c>
      <c r="U1620" s="55" t="str">
        <f>IF(AND('3411-CT'!$F$9=H1620,OR(LEFT(L1620,3)=$U$7,LEFT(M1620,3)=$U$7)),"x","")</f>
        <v/>
      </c>
      <c r="V1620" s="55" t="str">
        <f>IF(OR(TH!L1620=TH!$V$7,M1620=TH!$V$7),"x","")</f>
        <v/>
      </c>
      <c r="W1620" s="55" t="str">
        <f>IF(AND(OR(L1620="131",M1620="131"),H1620='131-CT'!$E$7),"x","")</f>
        <v/>
      </c>
      <c r="X1620" s="55" t="str">
        <f>IF(AND(B1620&gt;='IN-NX'!$P$3,B1620&lt;='IN-NX'!$Q$3,'IN-NX'!$D$7=D1620,OR(LEFT(TH!L1620,2)="15",LEFT(TH!M1620,2)="15")),"x","")</f>
        <v/>
      </c>
      <c r="Y1620" s="55" t="str">
        <f>IF(AND(OR(LEFT(TH!L1620,2)="15",LEFT(TH!M1620,2)="15"),'152-CT'!$J$8=TH!F1620),"x","")</f>
        <v/>
      </c>
      <c r="Z1620" s="55" t="str">
        <f>IF(AND(OR(LEFT(TH!L1620,2)="15",LEFT(TH!M1620,2)="15"),TK!$E$7=TH!F1620),"x","")</f>
        <v/>
      </c>
      <c r="AA1620" s="55" t="str">
        <f>IF(AND(B1620&lt;=NKC!$N$8,B1620&gt;=NKC!$M$8),"x","")</f>
        <v/>
      </c>
    </row>
    <row r="1621" spans="1:27" ht="15.75" customHeight="1">
      <c r="A1621" s="219" t="str">
        <f>IF(B1621&lt;&gt;"",IF(AND(B1621&gt;=_TM1,B1621&lt;=_TM2,OR(TH!L1621="1111",TH!M1621="1111")),TH!D1621,""),"")</f>
        <v/>
      </c>
      <c r="B1621" s="36" t="str">
        <f t="shared" si="60"/>
        <v/>
      </c>
      <c r="C1621" s="37"/>
      <c r="D1621" s="37"/>
      <c r="E1621" s="37"/>
      <c r="F1621" s="40"/>
      <c r="G1621" s="580"/>
      <c r="H1621" s="45"/>
      <c r="I1621" s="277"/>
      <c r="J1621" s="277"/>
      <c r="K1621" s="38"/>
      <c r="L1621" s="208"/>
      <c r="M1621" s="39"/>
      <c r="N1621" s="55" t="str">
        <f>IF(AND('331-CT'!$E$7=TH!H1621,OR(L1621="331",M1621="331")),"x","")</f>
        <v/>
      </c>
      <c r="O1621" s="55" t="str">
        <f>IF(AND($B1621&gt;='111'!$N$11,$B1621&lt;='111'!$O$11,OR($L1621=$O$7,$M1621=$O$7)),"x","")</f>
        <v/>
      </c>
      <c r="P1621" s="55" t="str">
        <f>IF(AND($L1621=$O$7,$B1621&lt;'111'!$N$11),"x","")</f>
        <v/>
      </c>
      <c r="Q1621" s="55" t="str">
        <f>IF(AND($M1621=$O$7,$B1621&lt;'111'!$N$11),"x","")</f>
        <v/>
      </c>
      <c r="R1621" s="55" t="str">
        <f>IF(ISERROR(FIND('112'!$M$9,G1621,1)),"",IF((AND(FIND('112'!$M$9,G1621,1)&gt;=1,$B1621&gt;='112'!$N$8,$B1621&lt;='112'!$O$8,OR($L1621='112'!$I$6,$M1621='112'!$I$6))),"x",""))</f>
        <v/>
      </c>
      <c r="S1621" s="55" t="str">
        <f>IF(ISERROR(FIND('112'!$M$9,G1621,1)),"",IF((AND(LEFT(G1621,2)=LEFT('112'!$M$9,2),B1621&lt;'112'!$N$8,$L1621='112'!$I$6)),"x",""))</f>
        <v/>
      </c>
      <c r="T1621" s="55" t="str">
        <f>IF(ISERROR(FIND('112'!$M$9,G1621,1)),"",IF((AND(RIGHT(G1621,2)=RIGHT('112'!$M$9,2),B1621&lt;'112'!$N$8,$M1621='112'!$I$6)),"x",""))</f>
        <v/>
      </c>
      <c r="U1621" s="55" t="str">
        <f>IF(AND('3411-CT'!$F$9=H1621,OR(LEFT(L1621,3)=$U$7,LEFT(M1621,3)=$U$7)),"x","")</f>
        <v/>
      </c>
      <c r="V1621" s="55" t="str">
        <f>IF(OR(TH!L1621=TH!$V$7,M1621=TH!$V$7),"x","")</f>
        <v/>
      </c>
      <c r="W1621" s="55" t="str">
        <f>IF(AND(OR(L1621="131",M1621="131"),H1621='131-CT'!$E$7),"x","")</f>
        <v/>
      </c>
      <c r="X1621" s="55" t="str">
        <f>IF(AND(B1621&gt;='IN-NX'!$P$3,B1621&lt;='IN-NX'!$Q$3,'IN-NX'!$D$7=D1621,OR(LEFT(TH!L1621,2)="15",LEFT(TH!M1621,2)="15")),"x","")</f>
        <v/>
      </c>
      <c r="Y1621" s="55" t="str">
        <f>IF(AND(OR(LEFT(TH!L1621,2)="15",LEFT(TH!M1621,2)="15"),'152-CT'!$J$8=TH!F1621),"x","")</f>
        <v/>
      </c>
      <c r="Z1621" s="55" t="str">
        <f>IF(AND(OR(LEFT(TH!L1621,2)="15",LEFT(TH!M1621,2)="15"),TK!$E$7=TH!F1621),"x","")</f>
        <v/>
      </c>
      <c r="AA1621" s="55" t="str">
        <f>IF(AND(B1621&lt;=NKC!$N$8,B1621&gt;=NKC!$M$8),"x","")</f>
        <v/>
      </c>
    </row>
    <row r="1622" spans="1:27" ht="15.75" customHeight="1">
      <c r="A1622" s="219" t="str">
        <f>IF(B1622&lt;&gt;"",IF(AND(B1622&gt;=_TM1,B1622&lt;=_TM2,OR(TH!L1622="1111",TH!M1622="1111")),TH!D1622,""),"")</f>
        <v/>
      </c>
      <c r="B1622" s="36" t="str">
        <f t="shared" si="60"/>
        <v/>
      </c>
      <c r="C1622" s="37"/>
      <c r="D1622" s="37"/>
      <c r="E1622" s="37"/>
      <c r="F1622" s="40"/>
      <c r="G1622" s="580"/>
      <c r="H1622" s="45"/>
      <c r="I1622" s="277"/>
      <c r="J1622" s="277"/>
      <c r="K1622" s="38"/>
      <c r="L1622" s="208"/>
      <c r="M1622" s="39"/>
      <c r="N1622" s="55" t="str">
        <f>IF(AND('331-CT'!$E$7=TH!H1622,OR(L1622="331",M1622="331")),"x","")</f>
        <v/>
      </c>
      <c r="O1622" s="55" t="str">
        <f>IF(AND($B1622&gt;='111'!$N$11,$B1622&lt;='111'!$O$11,OR($L1622=$O$7,$M1622=$O$7)),"x","")</f>
        <v/>
      </c>
      <c r="P1622" s="55" t="str">
        <f>IF(AND($L1622=$O$7,$B1622&lt;'111'!$N$11),"x","")</f>
        <v/>
      </c>
      <c r="Q1622" s="55" t="str">
        <f>IF(AND($M1622=$O$7,$B1622&lt;'111'!$N$11),"x","")</f>
        <v/>
      </c>
      <c r="R1622" s="55" t="str">
        <f>IF(ISERROR(FIND('112'!$M$9,G1622,1)),"",IF((AND(FIND('112'!$M$9,G1622,1)&gt;=1,$B1622&gt;='112'!$N$8,$B1622&lt;='112'!$O$8,OR($L1622='112'!$I$6,$M1622='112'!$I$6))),"x",""))</f>
        <v/>
      </c>
      <c r="S1622" s="55" t="str">
        <f>IF(ISERROR(FIND('112'!$M$9,G1622,1)),"",IF((AND(LEFT(G1622,2)=LEFT('112'!$M$9,2),B1622&lt;'112'!$N$8,$L1622='112'!$I$6)),"x",""))</f>
        <v/>
      </c>
      <c r="T1622" s="55" t="str">
        <f>IF(ISERROR(FIND('112'!$M$9,G1622,1)),"",IF((AND(RIGHT(G1622,2)=RIGHT('112'!$M$9,2),B1622&lt;'112'!$N$8,$M1622='112'!$I$6)),"x",""))</f>
        <v/>
      </c>
      <c r="U1622" s="55" t="str">
        <f>IF(AND('3411-CT'!$F$9=H1622,OR(LEFT(L1622,3)=$U$7,LEFT(M1622,3)=$U$7)),"x","")</f>
        <v/>
      </c>
      <c r="V1622" s="55" t="str">
        <f>IF(OR(TH!L1622=TH!$V$7,M1622=TH!$V$7),"x","")</f>
        <v/>
      </c>
      <c r="W1622" s="55" t="str">
        <f>IF(AND(OR(L1622="131",M1622="131"),H1622='131-CT'!$E$7),"x","")</f>
        <v/>
      </c>
      <c r="X1622" s="55" t="str">
        <f>IF(AND(B1622&gt;='IN-NX'!$P$3,B1622&lt;='IN-NX'!$Q$3,'IN-NX'!$D$7=D1622,OR(LEFT(TH!L1622,2)="15",LEFT(TH!M1622,2)="15")),"x","")</f>
        <v/>
      </c>
      <c r="Y1622" s="55" t="str">
        <f>IF(AND(OR(LEFT(TH!L1622,2)="15",LEFT(TH!M1622,2)="15"),'152-CT'!$J$8=TH!F1622),"x","")</f>
        <v/>
      </c>
      <c r="Z1622" s="55" t="str">
        <f>IF(AND(OR(LEFT(TH!L1622,2)="15",LEFT(TH!M1622,2)="15"),TK!$E$7=TH!F1622),"x","")</f>
        <v/>
      </c>
      <c r="AA1622" s="55" t="str">
        <f>IF(AND(B1622&lt;=NKC!$N$8,B1622&gt;=NKC!$M$8),"x","")</f>
        <v/>
      </c>
    </row>
    <row r="1623" spans="1:27" ht="15.75" customHeight="1">
      <c r="A1623" s="219" t="str">
        <f>IF(B1623&lt;&gt;"",IF(AND(B1623&gt;=_TM1,B1623&lt;=_TM2,OR(TH!L1623="1111",TH!M1623="1111")),TH!D1623,""),"")</f>
        <v/>
      </c>
      <c r="B1623" s="36" t="str">
        <f t="shared" si="60"/>
        <v/>
      </c>
      <c r="C1623" s="37"/>
      <c r="D1623" s="205"/>
      <c r="E1623" s="205"/>
      <c r="F1623" s="40"/>
      <c r="G1623" s="40"/>
      <c r="H1623" s="45"/>
      <c r="I1623" s="277"/>
      <c r="J1623" s="277"/>
      <c r="K1623" s="38"/>
      <c r="L1623" s="39"/>
      <c r="M1623" s="39"/>
      <c r="N1623" s="55" t="str">
        <f>IF(AND('331-CT'!$E$7=TH!H1623,OR(L1623="331",M1623="331")),"x","")</f>
        <v/>
      </c>
      <c r="O1623" s="55" t="str">
        <f>IF(AND($B1623&gt;='111'!$N$11,$B1623&lt;='111'!$O$11,OR($L1623=$O$7,$M1623=$O$7)),"x","")</f>
        <v/>
      </c>
      <c r="P1623" s="55" t="str">
        <f>IF(AND($L1623=$O$7,$B1623&lt;'111'!$N$11),"x","")</f>
        <v/>
      </c>
      <c r="Q1623" s="55" t="str">
        <f>IF(AND($M1623=$O$7,$B1623&lt;'111'!$N$11),"x","")</f>
        <v/>
      </c>
      <c r="R1623" s="55" t="str">
        <f>IF(ISERROR(FIND('112'!$M$9,G1623,1)),"",IF((AND(FIND('112'!$M$9,G1623,1)&gt;=1,$B1623&gt;='112'!$N$8,$B1623&lt;='112'!$O$8,OR($L1623='112'!$I$6,$M1623='112'!$I$6))),"x",""))</f>
        <v/>
      </c>
      <c r="S1623" s="55" t="str">
        <f>IF(ISERROR(FIND('112'!$M$9,G1623,1)),"",IF((AND(LEFT(G1623,2)=LEFT('112'!$M$9,2),B1623&lt;'112'!$N$8,$L1623='112'!$I$6)),"x",""))</f>
        <v/>
      </c>
      <c r="T1623" s="55" t="str">
        <f>IF(ISERROR(FIND('112'!$M$9,G1623,1)),"",IF((AND(RIGHT(G1623,2)=RIGHT('112'!$M$9,2),B1623&lt;'112'!$N$8,$M1623='112'!$I$6)),"x",""))</f>
        <v/>
      </c>
      <c r="U1623" s="55" t="str">
        <f>IF(AND('3411-CT'!$F$9=H1623,OR(LEFT(L1623,3)=$U$7,LEFT(M1623,3)=$U$7)),"x","")</f>
        <v/>
      </c>
      <c r="V1623" s="55" t="str">
        <f>IF(OR(TH!L1623=TH!$V$7,M1623=TH!$V$7),"x","")</f>
        <v/>
      </c>
      <c r="W1623" s="55" t="str">
        <f>IF(AND(OR(L1623="131",M1623="131"),H1623='131-CT'!$E$7),"x","")</f>
        <v/>
      </c>
      <c r="X1623" s="55" t="str">
        <f>IF(AND(B1623&gt;='IN-NX'!$P$3,B1623&lt;='IN-NX'!$Q$3,'IN-NX'!$D$7=D1623,OR(LEFT(TH!L1623,2)="15",LEFT(TH!M1623,2)="15")),"x","")</f>
        <v/>
      </c>
      <c r="Y1623" s="55" t="str">
        <f>IF(AND(OR(LEFT(TH!L1623,2)="15",LEFT(TH!M1623,2)="15"),'152-CT'!$J$8=TH!F1623),"x","")</f>
        <v/>
      </c>
      <c r="Z1623" s="55" t="str">
        <f>IF(AND(OR(LEFT(TH!L1623,2)="15",LEFT(TH!M1623,2)="15"),TK!$E$7=TH!F1623),"x","")</f>
        <v/>
      </c>
      <c r="AA1623" s="55" t="str">
        <f>IF(AND(B1623&lt;=NKC!$N$8,B1623&gt;=NKC!$M$8),"x","")</f>
        <v/>
      </c>
    </row>
    <row r="1624" spans="1:27" ht="15.75" customHeight="1">
      <c r="A1624" s="219" t="str">
        <f>IF(B1624&lt;&gt;"",IF(AND(B1624&gt;=_TM1,B1624&lt;=_TM2,OR(TH!L1624="1111",TH!M1624="1111")),TH!D1624,""),"")</f>
        <v/>
      </c>
      <c r="B1624" s="36" t="str">
        <f t="shared" si="60"/>
        <v/>
      </c>
      <c r="C1624" s="37"/>
      <c r="D1624" s="37"/>
      <c r="E1624" s="37"/>
      <c r="F1624" s="40"/>
      <c r="G1624" s="580"/>
      <c r="H1624" s="45"/>
      <c r="I1624" s="277"/>
      <c r="J1624" s="277"/>
      <c r="K1624" s="38"/>
      <c r="L1624" s="39"/>
      <c r="M1624" s="39"/>
      <c r="N1624" s="55" t="str">
        <f>IF(AND('331-CT'!$E$7=TH!H1624,OR(L1624="331",M1624="331")),"x","")</f>
        <v/>
      </c>
      <c r="O1624" s="55" t="str">
        <f>IF(AND($B1624&gt;='111'!$N$11,$B1624&lt;='111'!$O$11,OR($L1624=$O$7,$M1624=$O$7)),"x","")</f>
        <v/>
      </c>
      <c r="P1624" s="55" t="str">
        <f>IF(AND($L1624=$O$7,$B1624&lt;'111'!$N$11),"x","")</f>
        <v/>
      </c>
      <c r="Q1624" s="55" t="str">
        <f>IF(AND($M1624=$O$7,$B1624&lt;'111'!$N$11),"x","")</f>
        <v/>
      </c>
      <c r="R1624" s="55" t="str">
        <f>IF(ISERROR(FIND('112'!$M$9,G1624,1)),"",IF((AND(FIND('112'!$M$9,G1624,1)&gt;=1,$B1624&gt;='112'!$N$8,$B1624&lt;='112'!$O$8,OR($L1624='112'!$I$6,$M1624='112'!$I$6))),"x",""))</f>
        <v/>
      </c>
      <c r="S1624" s="55" t="str">
        <f>IF(ISERROR(FIND('112'!$M$9,G1624,1)),"",IF((AND(LEFT(G1624,2)=LEFT('112'!$M$9,2),B1624&lt;'112'!$N$8,$L1624='112'!$I$6)),"x",""))</f>
        <v/>
      </c>
      <c r="T1624" s="55" t="str">
        <f>IF(ISERROR(FIND('112'!$M$9,G1624,1)),"",IF((AND(RIGHT(G1624,2)=RIGHT('112'!$M$9,2),B1624&lt;'112'!$N$8,$M1624='112'!$I$6)),"x",""))</f>
        <v/>
      </c>
      <c r="U1624" s="55" t="str">
        <f>IF(AND('3411-CT'!$F$9=H1624,OR(LEFT(L1624,3)=$U$7,LEFT(M1624,3)=$U$7)),"x","")</f>
        <v/>
      </c>
      <c r="V1624" s="55" t="str">
        <f>IF(OR(TH!L1624=TH!$V$7,M1624=TH!$V$7),"x","")</f>
        <v/>
      </c>
      <c r="W1624" s="55" t="str">
        <f>IF(AND(OR(L1624="131",M1624="131"),H1624='131-CT'!$E$7),"x","")</f>
        <v/>
      </c>
      <c r="X1624" s="55" t="str">
        <f>IF(AND(B1624&gt;='IN-NX'!$P$3,B1624&lt;='IN-NX'!$Q$3,'IN-NX'!$D$7=D1624,OR(LEFT(TH!L1624,2)="15",LEFT(TH!M1624,2)="15")),"x","")</f>
        <v/>
      </c>
      <c r="Y1624" s="55" t="str">
        <f>IF(AND(OR(LEFT(TH!L1624,2)="15",LEFT(TH!M1624,2)="15"),'152-CT'!$J$8=TH!F1624),"x","")</f>
        <v/>
      </c>
      <c r="Z1624" s="55" t="str">
        <f>IF(AND(OR(LEFT(TH!L1624,2)="15",LEFT(TH!M1624,2)="15"),TK!$E$7=TH!F1624),"x","")</f>
        <v/>
      </c>
      <c r="AA1624" s="55" t="str">
        <f>IF(AND(B1624&lt;=NKC!$N$8,B1624&gt;=NKC!$M$8),"x","")</f>
        <v/>
      </c>
    </row>
    <row r="1625" spans="1:27" ht="15.75" customHeight="1">
      <c r="A1625" s="219" t="str">
        <f>IF(B1625&lt;&gt;"",IF(AND(B1625&gt;=_TM1,B1625&lt;=_TM2,OR(TH!L1625="1111",TH!M1625="1111")),TH!D1625,""),"")</f>
        <v/>
      </c>
      <c r="B1625" s="36" t="str">
        <f t="shared" si="60"/>
        <v/>
      </c>
      <c r="C1625" s="37"/>
      <c r="D1625" s="37"/>
      <c r="E1625" s="37"/>
      <c r="F1625" s="40"/>
      <c r="G1625" s="580"/>
      <c r="H1625" s="45"/>
      <c r="I1625" s="277"/>
      <c r="J1625" s="277"/>
      <c r="K1625" s="38"/>
      <c r="L1625" s="39"/>
      <c r="M1625" s="39"/>
      <c r="N1625" s="55" t="str">
        <f>IF(AND('331-CT'!$E$7=TH!H1625,OR(L1625="331",M1625="331")),"x","")</f>
        <v/>
      </c>
      <c r="O1625" s="55" t="str">
        <f>IF(AND($B1625&gt;='111'!$N$11,$B1625&lt;='111'!$O$11,OR($L1625=$O$7,$M1625=$O$7)),"x","")</f>
        <v/>
      </c>
      <c r="P1625" s="55" t="str">
        <f>IF(AND($L1625=$O$7,$B1625&lt;'111'!$N$11),"x","")</f>
        <v/>
      </c>
      <c r="Q1625" s="55" t="str">
        <f>IF(AND($M1625=$O$7,$B1625&lt;'111'!$N$11),"x","")</f>
        <v/>
      </c>
      <c r="R1625" s="55" t="str">
        <f>IF(ISERROR(FIND('112'!$M$9,G1625,1)),"",IF((AND(FIND('112'!$M$9,G1625,1)&gt;=1,$B1625&gt;='112'!$N$8,$B1625&lt;='112'!$O$8,OR($L1625='112'!$I$6,$M1625='112'!$I$6))),"x",""))</f>
        <v/>
      </c>
      <c r="S1625" s="55" t="str">
        <f>IF(ISERROR(FIND('112'!$M$9,G1625,1)),"",IF((AND(LEFT(G1625,2)=LEFT('112'!$M$9,2),B1625&lt;'112'!$N$8,$L1625='112'!$I$6)),"x",""))</f>
        <v/>
      </c>
      <c r="T1625" s="55" t="str">
        <f>IF(ISERROR(FIND('112'!$M$9,G1625,1)),"",IF((AND(RIGHT(G1625,2)=RIGHT('112'!$M$9,2),B1625&lt;'112'!$N$8,$M1625='112'!$I$6)),"x",""))</f>
        <v/>
      </c>
      <c r="U1625" s="55" t="str">
        <f>IF(AND('3411-CT'!$F$9=H1625,OR(LEFT(L1625,3)=$U$7,LEFT(M1625,3)=$U$7)),"x","")</f>
        <v/>
      </c>
      <c r="V1625" s="55" t="str">
        <f>IF(OR(TH!L1625=TH!$V$7,M1625=TH!$V$7),"x","")</f>
        <v/>
      </c>
      <c r="W1625" s="55" t="str">
        <f>IF(AND(OR(L1625="131",M1625="131"),H1625='131-CT'!$E$7),"x","")</f>
        <v/>
      </c>
      <c r="X1625" s="55" t="str">
        <f>IF(AND(B1625&gt;='IN-NX'!$P$3,B1625&lt;='IN-NX'!$Q$3,'IN-NX'!$D$7=D1625,OR(LEFT(TH!L1625,2)="15",LEFT(TH!M1625,2)="15")),"x","")</f>
        <v/>
      </c>
      <c r="Y1625" s="55" t="str">
        <f>IF(AND(OR(LEFT(TH!L1625,2)="15",LEFT(TH!M1625,2)="15"),'152-CT'!$J$8=TH!F1625),"x","")</f>
        <v/>
      </c>
      <c r="Z1625" s="55" t="str">
        <f>IF(AND(OR(LEFT(TH!L1625,2)="15",LEFT(TH!M1625,2)="15"),TK!$E$7=TH!F1625),"x","")</f>
        <v/>
      </c>
      <c r="AA1625" s="55" t="str">
        <f>IF(AND(B1625&lt;=NKC!$N$8,B1625&gt;=NKC!$M$8),"x","")</f>
        <v/>
      </c>
    </row>
    <row r="1626" spans="1:27" ht="15.75" customHeight="1">
      <c r="A1626" s="219" t="str">
        <f>IF(B1626&lt;&gt;"",IF(AND(B1626&gt;=_TM1,B1626&lt;=_TM2,OR(TH!L1626="1111",TH!M1626="1111")),TH!D1626,""),"")</f>
        <v/>
      </c>
      <c r="B1626" s="36" t="str">
        <f t="shared" si="60"/>
        <v/>
      </c>
      <c r="C1626" s="37"/>
      <c r="D1626" s="37"/>
      <c r="E1626" s="37"/>
      <c r="F1626" s="40"/>
      <c r="G1626" s="40"/>
      <c r="H1626" s="45"/>
      <c r="I1626" s="277"/>
      <c r="J1626" s="277"/>
      <c r="K1626" s="38"/>
      <c r="L1626" s="39"/>
      <c r="M1626" s="39"/>
      <c r="N1626" s="55" t="str">
        <f>IF(AND('331-CT'!$E$7=TH!H1626,OR(L1626="331",M1626="331")),"x","")</f>
        <v/>
      </c>
      <c r="O1626" s="55" t="str">
        <f>IF(AND($B1626&gt;='111'!$N$11,$B1626&lt;='111'!$O$11,OR($L1626=$O$7,$M1626=$O$7)),"x","")</f>
        <v/>
      </c>
      <c r="P1626" s="55" t="str">
        <f>IF(AND($L1626=$O$7,$B1626&lt;'111'!$N$11),"x","")</f>
        <v/>
      </c>
      <c r="Q1626" s="55" t="str">
        <f>IF(AND($M1626=$O$7,$B1626&lt;'111'!$N$11),"x","")</f>
        <v/>
      </c>
      <c r="R1626" s="55" t="str">
        <f>IF(ISERROR(FIND('112'!$M$9,G1626,1)),"",IF((AND(FIND('112'!$M$9,G1626,1)&gt;=1,$B1626&gt;='112'!$N$8,$B1626&lt;='112'!$O$8,OR($L1626='112'!$I$6,$M1626='112'!$I$6))),"x",""))</f>
        <v/>
      </c>
      <c r="S1626" s="55" t="str">
        <f>IF(ISERROR(FIND('112'!$M$9,G1626,1)),"",IF((AND(LEFT(G1626,2)=LEFT('112'!$M$9,2),B1626&lt;'112'!$N$8,$L1626='112'!$I$6)),"x",""))</f>
        <v/>
      </c>
      <c r="T1626" s="55" t="str">
        <f>IF(ISERROR(FIND('112'!$M$9,G1626,1)),"",IF((AND(RIGHT(G1626,2)=RIGHT('112'!$M$9,2),B1626&lt;'112'!$N$8,$M1626='112'!$I$6)),"x",""))</f>
        <v/>
      </c>
      <c r="U1626" s="55" t="str">
        <f>IF(AND('3411-CT'!$F$9=H1626,OR(LEFT(L1626,3)=$U$7,LEFT(M1626,3)=$U$7)),"x","")</f>
        <v/>
      </c>
      <c r="V1626" s="55" t="str">
        <f>IF(OR(TH!L1626=TH!$V$7,M1626=TH!$V$7),"x","")</f>
        <v/>
      </c>
      <c r="W1626" s="55" t="str">
        <f>IF(AND(OR(L1626="131",M1626="131"),H1626='131-CT'!$E$7),"x","")</f>
        <v/>
      </c>
      <c r="X1626" s="55" t="str">
        <f>IF(AND(B1626&gt;='IN-NX'!$P$3,B1626&lt;='IN-NX'!$Q$3,'IN-NX'!$D$7=D1626,OR(LEFT(TH!L1626,2)="15",LEFT(TH!M1626,2)="15")),"x","")</f>
        <v/>
      </c>
      <c r="Y1626" s="55" t="str">
        <f>IF(AND(OR(LEFT(TH!L1626,2)="15",LEFT(TH!M1626,2)="15"),'152-CT'!$J$8=TH!F1626),"x","")</f>
        <v/>
      </c>
      <c r="Z1626" s="55" t="str">
        <f>IF(AND(OR(LEFT(TH!L1626,2)="15",LEFT(TH!M1626,2)="15"),TK!$E$7=TH!F1626),"x","")</f>
        <v/>
      </c>
      <c r="AA1626" s="55" t="str">
        <f>IF(AND(B1626&lt;=NKC!$N$8,B1626&gt;=NKC!$M$8),"x","")</f>
        <v/>
      </c>
    </row>
    <row r="1627" spans="1:27" ht="15.75" customHeight="1">
      <c r="A1627" s="219" t="str">
        <f>IF(B1627&lt;&gt;"",IF(AND(B1627&gt;=_TM1,B1627&lt;=_TM2,OR(TH!L1627="1111",TH!M1627="1111")),TH!D1627,""),"")</f>
        <v/>
      </c>
      <c r="B1627" s="36" t="str">
        <f t="shared" si="60"/>
        <v/>
      </c>
      <c r="C1627" s="37"/>
      <c r="D1627" s="37"/>
      <c r="E1627" s="37"/>
      <c r="F1627" s="40"/>
      <c r="G1627" s="40"/>
      <c r="H1627" s="45"/>
      <c r="I1627" s="277"/>
      <c r="J1627" s="277"/>
      <c r="K1627" s="38"/>
      <c r="L1627" s="39"/>
      <c r="M1627" s="39"/>
      <c r="N1627" s="55" t="str">
        <f>IF(AND('331-CT'!$E$7=TH!H1627,OR(L1627="331",M1627="331")),"x","")</f>
        <v/>
      </c>
      <c r="O1627" s="55" t="str">
        <f>IF(AND($B1627&gt;='111'!$N$11,$B1627&lt;='111'!$O$11,OR($L1627=$O$7,$M1627=$O$7)),"x","")</f>
        <v/>
      </c>
      <c r="P1627" s="55" t="str">
        <f>IF(AND($L1627=$O$7,$B1627&lt;'111'!$N$11),"x","")</f>
        <v/>
      </c>
      <c r="Q1627" s="55" t="str">
        <f>IF(AND($M1627=$O$7,$B1627&lt;'111'!$N$11),"x","")</f>
        <v/>
      </c>
      <c r="R1627" s="55" t="str">
        <f>IF(ISERROR(FIND('112'!$M$9,G1627,1)),"",IF((AND(FIND('112'!$M$9,G1627,1)&gt;=1,$B1627&gt;='112'!$N$8,$B1627&lt;='112'!$O$8,OR($L1627='112'!$I$6,$M1627='112'!$I$6))),"x",""))</f>
        <v/>
      </c>
      <c r="S1627" s="55" t="str">
        <f>IF(ISERROR(FIND('112'!$M$9,G1627,1)),"",IF((AND(LEFT(G1627,2)=LEFT('112'!$M$9,2),B1627&lt;'112'!$N$8,$L1627='112'!$I$6)),"x",""))</f>
        <v/>
      </c>
      <c r="T1627" s="55" t="str">
        <f>IF(ISERROR(FIND('112'!$M$9,G1627,1)),"",IF((AND(RIGHT(G1627,2)=RIGHT('112'!$M$9,2),B1627&lt;'112'!$N$8,$M1627='112'!$I$6)),"x",""))</f>
        <v/>
      </c>
      <c r="U1627" s="55" t="str">
        <f>IF(AND('3411-CT'!$F$9=H1627,OR(LEFT(L1627,3)=$U$7,LEFT(M1627,3)=$U$7)),"x","")</f>
        <v/>
      </c>
      <c r="V1627" s="55" t="str">
        <f>IF(OR(TH!L1627=TH!$V$7,M1627=TH!$V$7),"x","")</f>
        <v/>
      </c>
      <c r="W1627" s="55" t="str">
        <f>IF(AND(OR(L1627="131",M1627="131"),H1627='131-CT'!$E$7),"x","")</f>
        <v/>
      </c>
      <c r="X1627" s="55" t="str">
        <f>IF(AND(B1627&gt;='IN-NX'!$P$3,B1627&lt;='IN-NX'!$Q$3,'IN-NX'!$D$7=D1627,OR(LEFT(TH!L1627,2)="15",LEFT(TH!M1627,2)="15")),"x","")</f>
        <v/>
      </c>
      <c r="Y1627" s="55" t="str">
        <f>IF(AND(OR(LEFT(TH!L1627,2)="15",LEFT(TH!M1627,2)="15"),'152-CT'!$J$8=TH!F1627),"x","")</f>
        <v/>
      </c>
      <c r="Z1627" s="55" t="str">
        <f>IF(AND(OR(LEFT(TH!L1627,2)="15",LEFT(TH!M1627,2)="15"),TK!$E$7=TH!F1627),"x","")</f>
        <v/>
      </c>
      <c r="AA1627" s="55" t="str">
        <f>IF(AND(B1627&lt;=NKC!$N$8,B1627&gt;=NKC!$M$8),"x","")</f>
        <v/>
      </c>
    </row>
    <row r="1628" spans="1:27" ht="15.75" customHeight="1">
      <c r="A1628" s="219" t="str">
        <f>IF(B1628&lt;&gt;"",IF(AND(B1628&gt;=_TM1,B1628&lt;=_TM2,OR(TH!L1628="1111",TH!M1628="1111")),TH!D1628,""),"")</f>
        <v/>
      </c>
      <c r="B1628" s="36" t="str">
        <f t="shared" si="60"/>
        <v/>
      </c>
      <c r="C1628" s="37"/>
      <c r="D1628" s="37"/>
      <c r="E1628" s="37"/>
      <c r="F1628" s="40"/>
      <c r="G1628" s="40"/>
      <c r="H1628" s="45"/>
      <c r="I1628" s="277"/>
      <c r="J1628" s="277"/>
      <c r="K1628" s="38"/>
      <c r="L1628" s="39"/>
      <c r="M1628" s="39"/>
      <c r="N1628" s="55" t="str">
        <f>IF(AND('331-CT'!$E$7=TH!H1628,OR(L1628="331",M1628="331")),"x","")</f>
        <v/>
      </c>
      <c r="O1628" s="55" t="str">
        <f>IF(AND($B1628&gt;='111'!$N$11,$B1628&lt;='111'!$O$11,OR($L1628=$O$7,$M1628=$O$7)),"x","")</f>
        <v/>
      </c>
      <c r="P1628" s="55" t="str">
        <f>IF(AND($L1628=$O$7,$B1628&lt;'111'!$N$11),"x","")</f>
        <v/>
      </c>
      <c r="Q1628" s="55" t="str">
        <f>IF(AND($M1628=$O$7,$B1628&lt;'111'!$N$11),"x","")</f>
        <v/>
      </c>
      <c r="R1628" s="55" t="str">
        <f>IF(ISERROR(FIND('112'!$M$9,G1628,1)),"",IF((AND(FIND('112'!$M$9,G1628,1)&gt;=1,$B1628&gt;='112'!$N$8,$B1628&lt;='112'!$O$8,OR($L1628='112'!$I$6,$M1628='112'!$I$6))),"x",""))</f>
        <v/>
      </c>
      <c r="S1628" s="55" t="str">
        <f>IF(ISERROR(FIND('112'!$M$9,G1628,1)),"",IF((AND(LEFT(G1628,2)=LEFT('112'!$M$9,2),B1628&lt;'112'!$N$8,$L1628='112'!$I$6)),"x",""))</f>
        <v/>
      </c>
      <c r="T1628" s="55" t="str">
        <f>IF(ISERROR(FIND('112'!$M$9,G1628,1)),"",IF((AND(RIGHT(G1628,2)=RIGHT('112'!$M$9,2),B1628&lt;'112'!$N$8,$M1628='112'!$I$6)),"x",""))</f>
        <v/>
      </c>
      <c r="U1628" s="55" t="str">
        <f>IF(AND('3411-CT'!$F$9=H1628,OR(LEFT(L1628,3)=$U$7,LEFT(M1628,3)=$U$7)),"x","")</f>
        <v/>
      </c>
      <c r="V1628" s="55" t="str">
        <f>IF(OR(TH!L1628=TH!$V$7,M1628=TH!$V$7),"x","")</f>
        <v/>
      </c>
      <c r="W1628" s="55" t="str">
        <f>IF(AND(OR(L1628="131",M1628="131"),H1628='131-CT'!$E$7),"x","")</f>
        <v/>
      </c>
      <c r="X1628" s="55" t="str">
        <f>IF(AND(B1628&gt;='IN-NX'!$P$3,B1628&lt;='IN-NX'!$Q$3,'IN-NX'!$D$7=D1628,OR(LEFT(TH!L1628,2)="15",LEFT(TH!M1628,2)="15")),"x","")</f>
        <v/>
      </c>
      <c r="Y1628" s="55" t="str">
        <f>IF(AND(OR(LEFT(TH!L1628,2)="15",LEFT(TH!M1628,2)="15"),'152-CT'!$J$8=TH!F1628),"x","")</f>
        <v/>
      </c>
      <c r="Z1628" s="55" t="str">
        <f>IF(AND(OR(LEFT(TH!L1628,2)="15",LEFT(TH!M1628,2)="15"),TK!$E$7=TH!F1628),"x","")</f>
        <v/>
      </c>
      <c r="AA1628" s="55" t="str">
        <f>IF(AND(B1628&lt;=NKC!$N$8,B1628&gt;=NKC!$M$8),"x","")</f>
        <v/>
      </c>
    </row>
    <row r="1629" spans="1:27" ht="15.75" customHeight="1">
      <c r="A1629" s="219" t="str">
        <f>IF(B1629&lt;&gt;"",IF(AND(B1629&gt;=_TM1,B1629&lt;=_TM2,OR(TH!L1629="1111",TH!M1629="1111")),TH!D1629,""),"")</f>
        <v/>
      </c>
      <c r="B1629" s="36" t="str">
        <f t="shared" si="60"/>
        <v/>
      </c>
      <c r="C1629" s="37"/>
      <c r="D1629" s="37"/>
      <c r="E1629" s="37"/>
      <c r="F1629" s="40"/>
      <c r="G1629" s="40"/>
      <c r="H1629" s="45"/>
      <c r="I1629" s="277"/>
      <c r="J1629" s="277"/>
      <c r="K1629" s="38"/>
      <c r="L1629" s="39"/>
      <c r="M1629" s="39"/>
      <c r="N1629" s="55" t="str">
        <f>IF(AND('331-CT'!$E$7=TH!H1629,OR(L1629="331",M1629="331")),"x","")</f>
        <v/>
      </c>
      <c r="O1629" s="55" t="str">
        <f>IF(AND($B1629&gt;='111'!$N$11,$B1629&lt;='111'!$O$11,OR($L1629=$O$7,$M1629=$O$7)),"x","")</f>
        <v/>
      </c>
      <c r="P1629" s="55" t="str">
        <f>IF(AND($L1629=$O$7,$B1629&lt;'111'!$N$11),"x","")</f>
        <v/>
      </c>
      <c r="Q1629" s="55" t="str">
        <f>IF(AND($M1629=$O$7,$B1629&lt;'111'!$N$11),"x","")</f>
        <v/>
      </c>
      <c r="R1629" s="55" t="str">
        <f>IF(ISERROR(FIND('112'!$M$9,G1629,1)),"",IF((AND(FIND('112'!$M$9,G1629,1)&gt;=1,$B1629&gt;='112'!$N$8,$B1629&lt;='112'!$O$8,OR($L1629='112'!$I$6,$M1629='112'!$I$6))),"x",""))</f>
        <v/>
      </c>
      <c r="S1629" s="55" t="str">
        <f>IF(ISERROR(FIND('112'!$M$9,G1629,1)),"",IF((AND(LEFT(G1629,2)=LEFT('112'!$M$9,2),B1629&lt;'112'!$N$8,$L1629='112'!$I$6)),"x",""))</f>
        <v/>
      </c>
      <c r="T1629" s="55" t="str">
        <f>IF(ISERROR(FIND('112'!$M$9,G1629,1)),"",IF((AND(RIGHT(G1629,2)=RIGHT('112'!$M$9,2),B1629&lt;'112'!$N$8,$M1629='112'!$I$6)),"x",""))</f>
        <v/>
      </c>
      <c r="U1629" s="55" t="str">
        <f>IF(AND('3411-CT'!$F$9=H1629,OR(LEFT(L1629,3)=$U$7,LEFT(M1629,3)=$U$7)),"x","")</f>
        <v/>
      </c>
      <c r="V1629" s="55" t="str">
        <f>IF(OR(TH!L1629=TH!$V$7,M1629=TH!$V$7),"x","")</f>
        <v/>
      </c>
      <c r="W1629" s="55" t="str">
        <f>IF(AND(OR(L1629="131",M1629="131"),H1629='131-CT'!$E$7),"x","")</f>
        <v/>
      </c>
      <c r="X1629" s="55" t="str">
        <f>IF(AND(B1629&gt;='IN-NX'!$P$3,B1629&lt;='IN-NX'!$Q$3,'IN-NX'!$D$7=D1629,OR(LEFT(TH!L1629,2)="15",LEFT(TH!M1629,2)="15")),"x","")</f>
        <v/>
      </c>
      <c r="Y1629" s="55" t="str">
        <f>IF(AND(OR(LEFT(TH!L1629,2)="15",LEFT(TH!M1629,2)="15"),'152-CT'!$J$8=TH!F1629),"x","")</f>
        <v/>
      </c>
      <c r="Z1629" s="55" t="str">
        <f>IF(AND(OR(LEFT(TH!L1629,2)="15",LEFT(TH!M1629,2)="15"),TK!$E$7=TH!F1629),"x","")</f>
        <v/>
      </c>
      <c r="AA1629" s="55" t="str">
        <f>IF(AND(B1629&lt;=NKC!$N$8,B1629&gt;=NKC!$M$8),"x","")</f>
        <v/>
      </c>
    </row>
    <row r="1630" spans="1:27" ht="15.75" customHeight="1">
      <c r="A1630" s="219" t="str">
        <f>IF(B1630&lt;&gt;"",IF(AND(B1630&gt;=_TM1,B1630&lt;=_TM2,OR(TH!L1630="1111",TH!M1630="1111")),TH!D1630,""),"")</f>
        <v/>
      </c>
      <c r="B1630" s="36" t="str">
        <f t="shared" si="60"/>
        <v/>
      </c>
      <c r="C1630" s="37"/>
      <c r="D1630" s="37"/>
      <c r="E1630" s="37"/>
      <c r="F1630" s="40"/>
      <c r="G1630" s="40"/>
      <c r="H1630" s="45"/>
      <c r="I1630" s="277"/>
      <c r="J1630" s="277"/>
      <c r="K1630" s="38"/>
      <c r="L1630" s="39"/>
      <c r="M1630" s="39"/>
      <c r="N1630" s="55" t="str">
        <f>IF(AND('331-CT'!$E$7=TH!H1630,OR(L1630="331",M1630="331")),"x","")</f>
        <v/>
      </c>
      <c r="O1630" s="55" t="str">
        <f>IF(AND($B1630&gt;='111'!$N$11,$B1630&lt;='111'!$O$11,OR($L1630=$O$7,$M1630=$O$7)),"x","")</f>
        <v/>
      </c>
      <c r="P1630" s="55" t="str">
        <f>IF(AND($L1630=$O$7,$B1630&lt;'111'!$N$11),"x","")</f>
        <v/>
      </c>
      <c r="Q1630" s="55" t="str">
        <f>IF(AND($M1630=$O$7,$B1630&lt;'111'!$N$11),"x","")</f>
        <v/>
      </c>
      <c r="R1630" s="55" t="str">
        <f>IF(ISERROR(FIND('112'!$M$9,G1630,1)),"",IF((AND(FIND('112'!$M$9,G1630,1)&gt;=1,$B1630&gt;='112'!$N$8,$B1630&lt;='112'!$O$8,OR($L1630='112'!$I$6,$M1630='112'!$I$6))),"x",""))</f>
        <v/>
      </c>
      <c r="S1630" s="55" t="str">
        <f>IF(ISERROR(FIND('112'!$M$9,G1630,1)),"",IF((AND(LEFT(G1630,2)=LEFT('112'!$M$9,2),B1630&lt;'112'!$N$8,$L1630='112'!$I$6)),"x",""))</f>
        <v/>
      </c>
      <c r="T1630" s="55" t="str">
        <f>IF(ISERROR(FIND('112'!$M$9,G1630,1)),"",IF((AND(RIGHT(G1630,2)=RIGHT('112'!$M$9,2),B1630&lt;'112'!$N$8,$M1630='112'!$I$6)),"x",""))</f>
        <v/>
      </c>
      <c r="U1630" s="55" t="str">
        <f>IF(AND('3411-CT'!$F$9=H1630,OR(LEFT(L1630,3)=$U$7,LEFT(M1630,3)=$U$7)),"x","")</f>
        <v/>
      </c>
      <c r="V1630" s="55" t="str">
        <f>IF(OR(TH!L1630=TH!$V$7,M1630=TH!$V$7),"x","")</f>
        <v/>
      </c>
      <c r="W1630" s="55" t="str">
        <f>IF(AND(OR(L1630="131",M1630="131"),H1630='131-CT'!$E$7),"x","")</f>
        <v/>
      </c>
      <c r="X1630" s="55" t="str">
        <f>IF(AND(B1630&gt;='IN-NX'!$P$3,B1630&lt;='IN-NX'!$Q$3,'IN-NX'!$D$7=D1630,OR(LEFT(TH!L1630,2)="15",LEFT(TH!M1630,2)="15")),"x","")</f>
        <v/>
      </c>
      <c r="Y1630" s="55" t="str">
        <f>IF(AND(OR(LEFT(TH!L1630,2)="15",LEFT(TH!M1630,2)="15"),'152-CT'!$J$8=TH!F1630),"x","")</f>
        <v/>
      </c>
      <c r="Z1630" s="55" t="str">
        <f>IF(AND(OR(LEFT(TH!L1630,2)="15",LEFT(TH!M1630,2)="15"),TK!$E$7=TH!F1630),"x","")</f>
        <v/>
      </c>
      <c r="AA1630" s="55" t="str">
        <f>IF(AND(B1630&lt;=NKC!$N$8,B1630&gt;=NKC!$M$8),"x","")</f>
        <v/>
      </c>
    </row>
    <row r="1631" spans="1:27" ht="15.75" customHeight="1">
      <c r="A1631" s="219" t="str">
        <f>IF(B1631&lt;&gt;"",IF(AND(B1631&gt;=_TM1,B1631&lt;=_TM2,OR(TH!L1631="1111",TH!M1631="1111")),TH!D1631,""),"")</f>
        <v/>
      </c>
      <c r="B1631" s="36" t="str">
        <f t="shared" si="60"/>
        <v/>
      </c>
      <c r="C1631" s="37"/>
      <c r="D1631" s="37"/>
      <c r="E1631" s="37"/>
      <c r="F1631" s="40"/>
      <c r="G1631" s="40"/>
      <c r="H1631" s="45"/>
      <c r="I1631" s="277"/>
      <c r="J1631" s="277"/>
      <c r="K1631" s="38"/>
      <c r="L1631" s="39"/>
      <c r="M1631" s="39"/>
      <c r="N1631" s="55" t="str">
        <f>IF(AND('331-CT'!$E$7=TH!H1631,OR(L1631="331",M1631="331")),"x","")</f>
        <v/>
      </c>
      <c r="O1631" s="55" t="str">
        <f>IF(AND($B1631&gt;='111'!$N$11,$B1631&lt;='111'!$O$11,OR($L1631=$O$7,$M1631=$O$7)),"x","")</f>
        <v/>
      </c>
      <c r="P1631" s="55" t="str">
        <f>IF(AND($L1631=$O$7,$B1631&lt;'111'!$N$11),"x","")</f>
        <v/>
      </c>
      <c r="Q1631" s="55" t="str">
        <f>IF(AND($M1631=$O$7,$B1631&lt;'111'!$N$11),"x","")</f>
        <v/>
      </c>
      <c r="R1631" s="55" t="str">
        <f>IF(ISERROR(FIND('112'!$M$9,G1631,1)),"",IF((AND(FIND('112'!$M$9,G1631,1)&gt;=1,$B1631&gt;='112'!$N$8,$B1631&lt;='112'!$O$8,OR($L1631='112'!$I$6,$M1631='112'!$I$6))),"x",""))</f>
        <v/>
      </c>
      <c r="S1631" s="55" t="str">
        <f>IF(ISERROR(FIND('112'!$M$9,G1631,1)),"",IF((AND(LEFT(G1631,2)=LEFT('112'!$M$9,2),B1631&lt;'112'!$N$8,$L1631='112'!$I$6)),"x",""))</f>
        <v/>
      </c>
      <c r="T1631" s="55" t="str">
        <f>IF(ISERROR(FIND('112'!$M$9,G1631,1)),"",IF((AND(RIGHT(G1631,2)=RIGHT('112'!$M$9,2),B1631&lt;'112'!$N$8,$M1631='112'!$I$6)),"x",""))</f>
        <v/>
      </c>
      <c r="U1631" s="55" t="str">
        <f>IF(AND('3411-CT'!$F$9=H1631,OR(LEFT(L1631,3)=$U$7,LEFT(M1631,3)=$U$7)),"x","")</f>
        <v/>
      </c>
      <c r="V1631" s="55" t="str">
        <f>IF(OR(TH!L1631=TH!$V$7,M1631=TH!$V$7),"x","")</f>
        <v/>
      </c>
      <c r="W1631" s="55" t="str">
        <f>IF(AND(OR(L1631="131",M1631="131"),H1631='131-CT'!$E$7),"x","")</f>
        <v/>
      </c>
      <c r="X1631" s="55" t="str">
        <f>IF(AND(B1631&gt;='IN-NX'!$P$3,B1631&lt;='IN-NX'!$Q$3,'IN-NX'!$D$7=D1631,OR(LEFT(TH!L1631,2)="15",LEFT(TH!M1631,2)="15")),"x","")</f>
        <v/>
      </c>
      <c r="Y1631" s="55" t="str">
        <f>IF(AND(OR(LEFT(TH!L1631,2)="15",LEFT(TH!M1631,2)="15"),'152-CT'!$J$8=TH!F1631),"x","")</f>
        <v/>
      </c>
      <c r="Z1631" s="55" t="str">
        <f>IF(AND(OR(LEFT(TH!L1631,2)="15",LEFT(TH!M1631,2)="15"),TK!$E$7=TH!F1631),"x","")</f>
        <v/>
      </c>
      <c r="AA1631" s="55" t="str">
        <f>IF(AND(B1631&lt;=NKC!$N$8,B1631&gt;=NKC!$M$8),"x","")</f>
        <v/>
      </c>
    </row>
    <row r="1632" spans="1:27" ht="15.75" customHeight="1">
      <c r="A1632" s="219" t="str">
        <f>IF(B1632&lt;&gt;"",IF(AND(B1632&gt;=_TM1,B1632&lt;=_TM2,OR(TH!L1632="1111",TH!M1632="1111")),TH!D1632,""),"")</f>
        <v/>
      </c>
      <c r="B1632" s="36" t="str">
        <f t="shared" si="60"/>
        <v/>
      </c>
      <c r="C1632" s="37"/>
      <c r="D1632" s="37"/>
      <c r="E1632" s="37"/>
      <c r="F1632" s="40"/>
      <c r="G1632" s="40"/>
      <c r="H1632" s="45"/>
      <c r="I1632" s="277"/>
      <c r="J1632" s="277"/>
      <c r="K1632" s="38"/>
      <c r="L1632" s="39"/>
      <c r="M1632" s="39"/>
      <c r="N1632" s="55" t="str">
        <f>IF(AND('331-CT'!$E$7=TH!H1632,OR(L1632="331",M1632="331")),"x","")</f>
        <v/>
      </c>
      <c r="O1632" s="55" t="str">
        <f>IF(AND($B1632&gt;='111'!$N$11,$B1632&lt;='111'!$O$11,OR($L1632=$O$7,$M1632=$O$7)),"x","")</f>
        <v/>
      </c>
      <c r="P1632" s="55" t="str">
        <f>IF(AND($L1632=$O$7,$B1632&lt;'111'!$N$11),"x","")</f>
        <v/>
      </c>
      <c r="Q1632" s="55" t="str">
        <f>IF(AND($M1632=$O$7,$B1632&lt;'111'!$N$11),"x","")</f>
        <v/>
      </c>
      <c r="R1632" s="55" t="str">
        <f>IF(ISERROR(FIND('112'!$M$9,G1632,1)),"",IF((AND(FIND('112'!$M$9,G1632,1)&gt;=1,$B1632&gt;='112'!$N$8,$B1632&lt;='112'!$O$8,OR($L1632='112'!$I$6,$M1632='112'!$I$6))),"x",""))</f>
        <v/>
      </c>
      <c r="S1632" s="55" t="str">
        <f>IF(ISERROR(FIND('112'!$M$9,G1632,1)),"",IF((AND(LEFT(G1632,2)=LEFT('112'!$M$9,2),B1632&lt;'112'!$N$8,$L1632='112'!$I$6)),"x",""))</f>
        <v/>
      </c>
      <c r="T1632" s="55" t="str">
        <f>IF(ISERROR(FIND('112'!$M$9,G1632,1)),"",IF((AND(RIGHT(G1632,2)=RIGHT('112'!$M$9,2),B1632&lt;'112'!$N$8,$M1632='112'!$I$6)),"x",""))</f>
        <v/>
      </c>
      <c r="U1632" s="55" t="str">
        <f>IF(AND('3411-CT'!$F$9=H1632,OR(LEFT(L1632,3)=$U$7,LEFT(M1632,3)=$U$7)),"x","")</f>
        <v/>
      </c>
      <c r="V1632" s="55" t="str">
        <f>IF(OR(TH!L1632=TH!$V$7,M1632=TH!$V$7),"x","")</f>
        <v/>
      </c>
      <c r="W1632" s="55" t="str">
        <f>IF(AND(OR(L1632="131",M1632="131"),H1632='131-CT'!$E$7),"x","")</f>
        <v/>
      </c>
      <c r="X1632" s="55" t="str">
        <f>IF(AND(B1632&gt;='IN-NX'!$P$3,B1632&lt;='IN-NX'!$Q$3,'IN-NX'!$D$7=D1632,OR(LEFT(TH!L1632,2)="15",LEFT(TH!M1632,2)="15")),"x","")</f>
        <v/>
      </c>
      <c r="Y1632" s="55" t="str">
        <f>IF(AND(OR(LEFT(TH!L1632,2)="15",LEFT(TH!M1632,2)="15"),'152-CT'!$J$8=TH!F1632),"x","")</f>
        <v/>
      </c>
      <c r="Z1632" s="55" t="str">
        <f>IF(AND(OR(LEFT(TH!L1632,2)="15",LEFT(TH!M1632,2)="15"),TK!$E$7=TH!F1632),"x","")</f>
        <v/>
      </c>
      <c r="AA1632" s="55" t="str">
        <f>IF(AND(B1632&lt;=NKC!$N$8,B1632&gt;=NKC!$M$8),"x","")</f>
        <v/>
      </c>
    </row>
    <row r="1633" spans="1:27" ht="15.75" customHeight="1">
      <c r="A1633" s="219" t="str">
        <f>IF(B1633&lt;&gt;"",IF(AND(B1633&gt;=_TM1,B1633&lt;=_TM2,OR(TH!L1633="1111",TH!M1633="1111")),TH!D1633,""),"")</f>
        <v/>
      </c>
      <c r="B1633" s="36" t="str">
        <f t="shared" si="60"/>
        <v/>
      </c>
      <c r="C1633" s="37"/>
      <c r="D1633" s="37"/>
      <c r="E1633" s="37"/>
      <c r="F1633" s="40"/>
      <c r="G1633" s="40"/>
      <c r="H1633" s="45"/>
      <c r="I1633" s="277"/>
      <c r="J1633" s="277"/>
      <c r="K1633" s="38"/>
      <c r="L1633" s="39"/>
      <c r="M1633" s="39"/>
      <c r="N1633" s="55" t="str">
        <f>IF(AND('331-CT'!$E$7=TH!H1633,OR(L1633="331",M1633="331")),"x","")</f>
        <v/>
      </c>
      <c r="O1633" s="55" t="str">
        <f>IF(AND($B1633&gt;='111'!$N$11,$B1633&lt;='111'!$O$11,OR($L1633=$O$7,$M1633=$O$7)),"x","")</f>
        <v/>
      </c>
      <c r="P1633" s="55" t="str">
        <f>IF(AND($L1633=$O$7,$B1633&lt;'111'!$N$11),"x","")</f>
        <v/>
      </c>
      <c r="Q1633" s="55" t="str">
        <f>IF(AND($M1633=$O$7,$B1633&lt;'111'!$N$11),"x","")</f>
        <v/>
      </c>
      <c r="R1633" s="55" t="str">
        <f>IF(ISERROR(FIND('112'!$M$9,G1633,1)),"",IF((AND(FIND('112'!$M$9,G1633,1)&gt;=1,$B1633&gt;='112'!$N$8,$B1633&lt;='112'!$O$8,OR($L1633='112'!$I$6,$M1633='112'!$I$6))),"x",""))</f>
        <v/>
      </c>
      <c r="S1633" s="55" t="str">
        <f>IF(ISERROR(FIND('112'!$M$9,G1633,1)),"",IF((AND(LEFT(G1633,2)=LEFT('112'!$M$9,2),B1633&lt;'112'!$N$8,$L1633='112'!$I$6)),"x",""))</f>
        <v/>
      </c>
      <c r="T1633" s="55" t="str">
        <f>IF(ISERROR(FIND('112'!$M$9,G1633,1)),"",IF((AND(RIGHT(G1633,2)=RIGHT('112'!$M$9,2),B1633&lt;'112'!$N$8,$M1633='112'!$I$6)),"x",""))</f>
        <v/>
      </c>
      <c r="U1633" s="55" t="str">
        <f>IF(AND('3411-CT'!$F$9=H1633,OR(LEFT(L1633,3)=$U$7,LEFT(M1633,3)=$U$7)),"x","")</f>
        <v/>
      </c>
      <c r="V1633" s="55" t="str">
        <f>IF(OR(TH!L1633=TH!$V$7,M1633=TH!$V$7),"x","")</f>
        <v/>
      </c>
      <c r="W1633" s="55" t="str">
        <f>IF(AND(OR(L1633="131",M1633="131"),H1633='131-CT'!$E$7),"x","")</f>
        <v/>
      </c>
      <c r="X1633" s="55" t="str">
        <f>IF(AND(B1633&gt;='IN-NX'!$P$3,B1633&lt;='IN-NX'!$Q$3,'IN-NX'!$D$7=D1633,OR(LEFT(TH!L1633,2)="15",LEFT(TH!M1633,2)="15")),"x","")</f>
        <v/>
      </c>
      <c r="Y1633" s="55" t="str">
        <f>IF(AND(OR(LEFT(TH!L1633,2)="15",LEFT(TH!M1633,2)="15"),'152-CT'!$J$8=TH!F1633),"x","")</f>
        <v/>
      </c>
      <c r="Z1633" s="55" t="str">
        <f>IF(AND(OR(LEFT(TH!L1633,2)="15",LEFT(TH!M1633,2)="15"),TK!$E$7=TH!F1633),"x","")</f>
        <v/>
      </c>
      <c r="AA1633" s="55" t="str">
        <f>IF(AND(B1633&lt;=NKC!$N$8,B1633&gt;=NKC!$M$8),"x","")</f>
        <v/>
      </c>
    </row>
    <row r="1634" spans="1:27" ht="15.75" customHeight="1">
      <c r="A1634" s="219" t="str">
        <f>IF(B1634&lt;&gt;"",IF(AND(B1634&gt;=_TM1,B1634&lt;=_TM2,OR(TH!L1634="1111",TH!M1634="1111")),TH!D1634,""),"")</f>
        <v/>
      </c>
      <c r="B1634" s="36" t="str">
        <f t="shared" si="60"/>
        <v/>
      </c>
      <c r="C1634" s="37"/>
      <c r="D1634" s="37"/>
      <c r="E1634" s="37"/>
      <c r="F1634" s="40"/>
      <c r="G1634" s="40"/>
      <c r="H1634" s="45"/>
      <c r="I1634" s="277"/>
      <c r="J1634" s="277"/>
      <c r="K1634" s="38"/>
      <c r="L1634" s="39"/>
      <c r="M1634" s="39"/>
      <c r="N1634" s="55" t="str">
        <f>IF(AND('331-CT'!$E$7=TH!H1634,OR(L1634="331",M1634="331")),"x","")</f>
        <v/>
      </c>
      <c r="O1634" s="55" t="str">
        <f>IF(AND($B1634&gt;='111'!$N$11,$B1634&lt;='111'!$O$11,OR($L1634=$O$7,$M1634=$O$7)),"x","")</f>
        <v/>
      </c>
      <c r="P1634" s="55" t="str">
        <f>IF(AND($L1634=$O$7,$B1634&lt;'111'!$N$11),"x","")</f>
        <v/>
      </c>
      <c r="Q1634" s="55" t="str">
        <f>IF(AND($M1634=$O$7,$B1634&lt;'111'!$N$11),"x","")</f>
        <v/>
      </c>
      <c r="R1634" s="55" t="str">
        <f>IF(ISERROR(FIND('112'!$M$9,G1634,1)),"",IF((AND(FIND('112'!$M$9,G1634,1)&gt;=1,$B1634&gt;='112'!$N$8,$B1634&lt;='112'!$O$8,OR($L1634='112'!$I$6,$M1634='112'!$I$6))),"x",""))</f>
        <v/>
      </c>
      <c r="S1634" s="55" t="str">
        <f>IF(ISERROR(FIND('112'!$M$9,G1634,1)),"",IF((AND(LEFT(G1634,2)=LEFT('112'!$M$9,2),B1634&lt;'112'!$N$8,$L1634='112'!$I$6)),"x",""))</f>
        <v/>
      </c>
      <c r="T1634" s="55" t="str">
        <f>IF(ISERROR(FIND('112'!$M$9,G1634,1)),"",IF((AND(RIGHT(G1634,2)=RIGHT('112'!$M$9,2),B1634&lt;'112'!$N$8,$M1634='112'!$I$6)),"x",""))</f>
        <v/>
      </c>
      <c r="U1634" s="55" t="str">
        <f>IF(AND('3411-CT'!$F$9=H1634,OR(LEFT(L1634,3)=$U$7,LEFT(M1634,3)=$U$7)),"x","")</f>
        <v/>
      </c>
      <c r="V1634" s="55" t="str">
        <f>IF(OR(TH!L1634=TH!$V$7,M1634=TH!$V$7),"x","")</f>
        <v/>
      </c>
      <c r="W1634" s="55" t="str">
        <f>IF(AND(OR(L1634="131",M1634="131"),H1634='131-CT'!$E$7),"x","")</f>
        <v/>
      </c>
      <c r="X1634" s="55" t="str">
        <f>IF(AND(B1634&gt;='IN-NX'!$P$3,B1634&lt;='IN-NX'!$Q$3,'IN-NX'!$D$7=D1634,OR(LEFT(TH!L1634,2)="15",LEFT(TH!M1634,2)="15")),"x","")</f>
        <v/>
      </c>
      <c r="Y1634" s="55" t="str">
        <f>IF(AND(OR(LEFT(TH!L1634,2)="15",LEFT(TH!M1634,2)="15"),'152-CT'!$J$8=TH!F1634),"x","")</f>
        <v/>
      </c>
      <c r="Z1634" s="55" t="str">
        <f>IF(AND(OR(LEFT(TH!L1634,2)="15",LEFT(TH!M1634,2)="15"),TK!$E$7=TH!F1634),"x","")</f>
        <v/>
      </c>
      <c r="AA1634" s="55" t="str">
        <f>IF(AND(B1634&lt;=NKC!$N$8,B1634&gt;=NKC!$M$8),"x","")</f>
        <v/>
      </c>
    </row>
    <row r="1635" spans="1:27" ht="15.75" customHeight="1">
      <c r="A1635" s="219" t="str">
        <f>IF(B1635&lt;&gt;"",IF(AND(B1635&gt;=_TM1,B1635&lt;=_TM2,OR(TH!L1635="1111",TH!M1635="1111")),TH!D1635,""),"")</f>
        <v/>
      </c>
      <c r="B1635" s="36" t="str">
        <f t="shared" si="60"/>
        <v/>
      </c>
      <c r="C1635" s="37"/>
      <c r="D1635" s="37"/>
      <c r="E1635" s="37"/>
      <c r="F1635" s="40"/>
      <c r="G1635" s="40"/>
      <c r="H1635" s="45"/>
      <c r="I1635" s="277"/>
      <c r="J1635" s="277"/>
      <c r="K1635" s="38"/>
      <c r="L1635" s="39"/>
      <c r="M1635" s="39"/>
      <c r="N1635" s="55" t="str">
        <f>IF(AND('331-CT'!$E$7=TH!H1635,OR(L1635="331",M1635="331")),"x","")</f>
        <v/>
      </c>
      <c r="O1635" s="55" t="str">
        <f>IF(AND($B1635&gt;='111'!$N$11,$B1635&lt;='111'!$O$11,OR($L1635=$O$7,$M1635=$O$7)),"x","")</f>
        <v/>
      </c>
      <c r="P1635" s="55" t="str">
        <f>IF(AND($L1635=$O$7,$B1635&lt;'111'!$N$11),"x","")</f>
        <v/>
      </c>
      <c r="Q1635" s="55" t="str">
        <f>IF(AND($M1635=$O$7,$B1635&lt;'111'!$N$11),"x","")</f>
        <v/>
      </c>
      <c r="R1635" s="55" t="str">
        <f>IF(ISERROR(FIND('112'!$M$9,G1635,1)),"",IF((AND(FIND('112'!$M$9,G1635,1)&gt;=1,$B1635&gt;='112'!$N$8,$B1635&lt;='112'!$O$8,OR($L1635='112'!$I$6,$M1635='112'!$I$6))),"x",""))</f>
        <v/>
      </c>
      <c r="S1635" s="55" t="str">
        <f>IF(ISERROR(FIND('112'!$M$9,G1635,1)),"",IF((AND(LEFT(G1635,2)=LEFT('112'!$M$9,2),B1635&lt;'112'!$N$8,$L1635='112'!$I$6)),"x",""))</f>
        <v/>
      </c>
      <c r="T1635" s="55" t="str">
        <f>IF(ISERROR(FIND('112'!$M$9,G1635,1)),"",IF((AND(RIGHT(G1635,2)=RIGHT('112'!$M$9,2),B1635&lt;'112'!$N$8,$M1635='112'!$I$6)),"x",""))</f>
        <v/>
      </c>
      <c r="U1635" s="55" t="str">
        <f>IF(AND('3411-CT'!$F$9=H1635,OR(LEFT(L1635,3)=$U$7,LEFT(M1635,3)=$U$7)),"x","")</f>
        <v/>
      </c>
      <c r="V1635" s="55" t="str">
        <f>IF(OR(TH!L1635=TH!$V$7,M1635=TH!$V$7),"x","")</f>
        <v/>
      </c>
      <c r="W1635" s="55" t="str">
        <f>IF(AND(OR(L1635="131",M1635="131"),H1635='131-CT'!$E$7),"x","")</f>
        <v/>
      </c>
      <c r="X1635" s="55" t="str">
        <f>IF(AND(B1635&gt;='IN-NX'!$P$3,B1635&lt;='IN-NX'!$Q$3,'IN-NX'!$D$7=D1635,OR(LEFT(TH!L1635,2)="15",LEFT(TH!M1635,2)="15")),"x","")</f>
        <v/>
      </c>
      <c r="Y1635" s="55" t="str">
        <f>IF(AND(OR(LEFT(TH!L1635,2)="15",LEFT(TH!M1635,2)="15"),'152-CT'!$J$8=TH!F1635),"x","")</f>
        <v/>
      </c>
      <c r="Z1635" s="55" t="str">
        <f>IF(AND(OR(LEFT(TH!L1635,2)="15",LEFT(TH!M1635,2)="15"),TK!$E$7=TH!F1635),"x","")</f>
        <v/>
      </c>
      <c r="AA1635" s="55" t="str">
        <f>IF(AND(B1635&lt;=NKC!$N$8,B1635&gt;=NKC!$M$8),"x","")</f>
        <v/>
      </c>
    </row>
    <row r="1636" spans="1:27" ht="15.75" customHeight="1">
      <c r="A1636" s="219" t="str">
        <f>IF(B1636&lt;&gt;"",IF(AND(B1636&gt;=_TM1,B1636&lt;=_TM2,OR(TH!L1636="1111",TH!M1636="1111")),TH!D1636,""),"")</f>
        <v/>
      </c>
      <c r="B1636" s="36" t="str">
        <f t="shared" si="60"/>
        <v/>
      </c>
      <c r="C1636" s="37"/>
      <c r="D1636" s="37"/>
      <c r="E1636" s="37"/>
      <c r="F1636" s="40"/>
      <c r="G1636" s="40"/>
      <c r="H1636" s="45"/>
      <c r="I1636" s="277"/>
      <c r="J1636" s="277"/>
      <c r="K1636" s="38"/>
      <c r="L1636" s="39"/>
      <c r="M1636" s="39"/>
      <c r="N1636" s="55" t="str">
        <f>IF(AND('331-CT'!$E$7=TH!H1636,OR(L1636="331",M1636="331")),"x","")</f>
        <v/>
      </c>
      <c r="O1636" s="55" t="str">
        <f>IF(AND($B1636&gt;='111'!$N$11,$B1636&lt;='111'!$O$11,OR($L1636=$O$7,$M1636=$O$7)),"x","")</f>
        <v/>
      </c>
      <c r="P1636" s="55" t="str">
        <f>IF(AND($L1636=$O$7,$B1636&lt;'111'!$N$11),"x","")</f>
        <v/>
      </c>
      <c r="Q1636" s="55" t="str">
        <f>IF(AND($M1636=$O$7,$B1636&lt;'111'!$N$11),"x","")</f>
        <v/>
      </c>
      <c r="R1636" s="55" t="str">
        <f>IF(ISERROR(FIND('112'!$M$9,G1636,1)),"",IF((AND(FIND('112'!$M$9,G1636,1)&gt;=1,$B1636&gt;='112'!$N$8,$B1636&lt;='112'!$O$8,OR($L1636='112'!$I$6,$M1636='112'!$I$6))),"x",""))</f>
        <v/>
      </c>
      <c r="S1636" s="55" t="str">
        <f>IF(ISERROR(FIND('112'!$M$9,G1636,1)),"",IF((AND(LEFT(G1636,2)=LEFT('112'!$M$9,2),B1636&lt;'112'!$N$8,$L1636='112'!$I$6)),"x",""))</f>
        <v/>
      </c>
      <c r="T1636" s="55" t="str">
        <f>IF(ISERROR(FIND('112'!$M$9,G1636,1)),"",IF((AND(RIGHT(G1636,2)=RIGHT('112'!$M$9,2),B1636&lt;'112'!$N$8,$M1636='112'!$I$6)),"x",""))</f>
        <v/>
      </c>
      <c r="U1636" s="55" t="str">
        <f>IF(AND('3411-CT'!$F$9=H1636,OR(LEFT(L1636,3)=$U$7,LEFT(M1636,3)=$U$7)),"x","")</f>
        <v/>
      </c>
      <c r="V1636" s="55" t="str">
        <f>IF(OR(TH!L1636=TH!$V$7,M1636=TH!$V$7),"x","")</f>
        <v/>
      </c>
      <c r="W1636" s="55" t="str">
        <f>IF(AND(OR(L1636="131",M1636="131"),H1636='131-CT'!$E$7),"x","")</f>
        <v/>
      </c>
      <c r="X1636" s="55" t="str">
        <f>IF(AND(B1636&gt;='IN-NX'!$P$3,B1636&lt;='IN-NX'!$Q$3,'IN-NX'!$D$7=D1636,OR(LEFT(TH!L1636,2)="15",LEFT(TH!M1636,2)="15")),"x","")</f>
        <v/>
      </c>
      <c r="Y1636" s="55" t="str">
        <f>IF(AND(OR(LEFT(TH!L1636,2)="15",LEFT(TH!M1636,2)="15"),'152-CT'!$J$8=TH!F1636),"x","")</f>
        <v/>
      </c>
      <c r="Z1636" s="55" t="str">
        <f>IF(AND(OR(LEFT(TH!L1636,2)="15",LEFT(TH!M1636,2)="15"),TK!$E$7=TH!F1636),"x","")</f>
        <v/>
      </c>
      <c r="AA1636" s="55" t="str">
        <f>IF(AND(B1636&lt;=NKC!$N$8,B1636&gt;=NKC!$M$8),"x","")</f>
        <v/>
      </c>
    </row>
    <row r="1637" spans="1:27" ht="15.75" customHeight="1">
      <c r="A1637" s="219" t="str">
        <f>IF(B1637&lt;&gt;"",IF(AND(B1637&gt;=_TM1,B1637&lt;=_TM2,OR(TH!L1637="1111",TH!M1637="1111")),TH!D1637,""),"")</f>
        <v/>
      </c>
      <c r="B1637" s="36" t="str">
        <f t="shared" si="60"/>
        <v/>
      </c>
      <c r="C1637" s="37"/>
      <c r="D1637" s="37"/>
      <c r="E1637" s="37"/>
      <c r="F1637" s="40"/>
      <c r="G1637" s="40"/>
      <c r="H1637" s="45"/>
      <c r="I1637" s="277"/>
      <c r="J1637" s="277"/>
      <c r="K1637" s="38"/>
      <c r="L1637" s="39"/>
      <c r="M1637" s="39"/>
      <c r="N1637" s="55" t="str">
        <f>IF(AND('331-CT'!$E$7=TH!H1637,OR(L1637="331",M1637="331")),"x","")</f>
        <v/>
      </c>
      <c r="O1637" s="55" t="str">
        <f>IF(AND($B1637&gt;='111'!$N$11,$B1637&lt;='111'!$O$11,OR($L1637=$O$7,$M1637=$O$7)),"x","")</f>
        <v/>
      </c>
      <c r="P1637" s="55" t="str">
        <f>IF(AND($L1637=$O$7,$B1637&lt;'111'!$N$11),"x","")</f>
        <v/>
      </c>
      <c r="Q1637" s="55" t="str">
        <f>IF(AND($M1637=$O$7,$B1637&lt;'111'!$N$11),"x","")</f>
        <v/>
      </c>
      <c r="R1637" s="55" t="str">
        <f>IF(ISERROR(FIND('112'!$M$9,G1637,1)),"",IF((AND(FIND('112'!$M$9,G1637,1)&gt;=1,$B1637&gt;='112'!$N$8,$B1637&lt;='112'!$O$8,OR($L1637='112'!$I$6,$M1637='112'!$I$6))),"x",""))</f>
        <v/>
      </c>
      <c r="S1637" s="55" t="str">
        <f>IF(ISERROR(FIND('112'!$M$9,G1637,1)),"",IF((AND(LEFT(G1637,2)=LEFT('112'!$M$9,2),B1637&lt;'112'!$N$8,$L1637='112'!$I$6)),"x",""))</f>
        <v/>
      </c>
      <c r="T1637" s="55" t="str">
        <f>IF(ISERROR(FIND('112'!$M$9,G1637,1)),"",IF((AND(RIGHT(G1637,2)=RIGHT('112'!$M$9,2),B1637&lt;'112'!$N$8,$M1637='112'!$I$6)),"x",""))</f>
        <v/>
      </c>
      <c r="U1637" s="55" t="str">
        <f>IF(AND('3411-CT'!$F$9=H1637,OR(LEFT(L1637,3)=$U$7,LEFT(M1637,3)=$U$7)),"x","")</f>
        <v/>
      </c>
      <c r="V1637" s="55" t="str">
        <f>IF(OR(TH!L1637=TH!$V$7,M1637=TH!$V$7),"x","")</f>
        <v/>
      </c>
      <c r="W1637" s="55" t="str">
        <f>IF(AND(OR(L1637="131",M1637="131"),H1637='131-CT'!$E$7),"x","")</f>
        <v/>
      </c>
      <c r="X1637" s="55" t="str">
        <f>IF(AND(B1637&gt;='IN-NX'!$P$3,B1637&lt;='IN-NX'!$Q$3,'IN-NX'!$D$7=D1637,OR(LEFT(TH!L1637,2)="15",LEFT(TH!M1637,2)="15")),"x","")</f>
        <v/>
      </c>
      <c r="Y1637" s="55" t="str">
        <f>IF(AND(OR(LEFT(TH!L1637,2)="15",LEFT(TH!M1637,2)="15"),'152-CT'!$J$8=TH!F1637),"x","")</f>
        <v/>
      </c>
      <c r="Z1637" s="55" t="str">
        <f>IF(AND(OR(LEFT(TH!L1637,2)="15",LEFT(TH!M1637,2)="15"),TK!$E$7=TH!F1637),"x","")</f>
        <v/>
      </c>
      <c r="AA1637" s="55" t="str">
        <f>IF(AND(B1637&lt;=NKC!$N$8,B1637&gt;=NKC!$M$8),"x","")</f>
        <v/>
      </c>
    </row>
    <row r="1638" spans="1:27" ht="15.75" customHeight="1">
      <c r="A1638" s="219" t="str">
        <f>IF(B1638&lt;&gt;"",IF(AND(B1638&gt;=_TM1,B1638&lt;=_TM2,OR(TH!L1638="1111",TH!M1638="1111")),TH!D1638,""),"")</f>
        <v/>
      </c>
      <c r="B1638" s="36" t="str">
        <f t="shared" si="60"/>
        <v/>
      </c>
      <c r="C1638" s="37"/>
      <c r="D1638" s="37"/>
      <c r="E1638" s="37"/>
      <c r="F1638" s="40"/>
      <c r="G1638" s="40"/>
      <c r="H1638" s="45"/>
      <c r="I1638" s="277"/>
      <c r="J1638" s="277"/>
      <c r="K1638" s="38"/>
      <c r="L1638" s="39"/>
      <c r="M1638" s="39"/>
      <c r="N1638" s="55" t="str">
        <f>IF(AND('331-CT'!$E$7=TH!H1638,OR(L1638="331",M1638="331")),"x","")</f>
        <v/>
      </c>
      <c r="O1638" s="55" t="str">
        <f>IF(AND($B1638&gt;='111'!$N$11,$B1638&lt;='111'!$O$11,OR($L1638=$O$7,$M1638=$O$7)),"x","")</f>
        <v/>
      </c>
      <c r="P1638" s="55" t="str">
        <f>IF(AND($L1638=$O$7,$B1638&lt;'111'!$N$11),"x","")</f>
        <v/>
      </c>
      <c r="Q1638" s="55" t="str">
        <f>IF(AND($M1638=$O$7,$B1638&lt;'111'!$N$11),"x","")</f>
        <v/>
      </c>
      <c r="R1638" s="55" t="str">
        <f>IF(ISERROR(FIND('112'!$M$9,G1638,1)),"",IF((AND(FIND('112'!$M$9,G1638,1)&gt;=1,$B1638&gt;='112'!$N$8,$B1638&lt;='112'!$O$8,OR($L1638='112'!$I$6,$M1638='112'!$I$6))),"x",""))</f>
        <v/>
      </c>
      <c r="S1638" s="55" t="str">
        <f>IF(ISERROR(FIND('112'!$M$9,G1638,1)),"",IF((AND(LEFT(G1638,2)=LEFT('112'!$M$9,2),B1638&lt;'112'!$N$8,$L1638='112'!$I$6)),"x",""))</f>
        <v/>
      </c>
      <c r="T1638" s="55" t="str">
        <f>IF(ISERROR(FIND('112'!$M$9,G1638,1)),"",IF((AND(RIGHT(G1638,2)=RIGHT('112'!$M$9,2),B1638&lt;'112'!$N$8,$M1638='112'!$I$6)),"x",""))</f>
        <v/>
      </c>
      <c r="U1638" s="55" t="str">
        <f>IF(AND('3411-CT'!$F$9=H1638,OR(LEFT(L1638,3)=$U$7,LEFT(M1638,3)=$U$7)),"x","")</f>
        <v/>
      </c>
      <c r="V1638" s="55" t="str">
        <f>IF(OR(TH!L1638=TH!$V$7,M1638=TH!$V$7),"x","")</f>
        <v/>
      </c>
      <c r="W1638" s="55" t="str">
        <f>IF(AND(OR(L1638="131",M1638="131"),H1638='131-CT'!$E$7),"x","")</f>
        <v/>
      </c>
      <c r="X1638" s="55" t="str">
        <f>IF(AND(B1638&gt;='IN-NX'!$P$3,B1638&lt;='IN-NX'!$Q$3,'IN-NX'!$D$7=D1638,OR(LEFT(TH!L1638,2)="15",LEFT(TH!M1638,2)="15")),"x","")</f>
        <v/>
      </c>
      <c r="Y1638" s="55" t="str">
        <f>IF(AND(OR(LEFT(TH!L1638,2)="15",LEFT(TH!M1638,2)="15"),'152-CT'!$J$8=TH!F1638),"x","")</f>
        <v/>
      </c>
      <c r="Z1638" s="55" t="str">
        <f>IF(AND(OR(LEFT(TH!L1638,2)="15",LEFT(TH!M1638,2)="15"),TK!$E$7=TH!F1638),"x","")</f>
        <v/>
      </c>
      <c r="AA1638" s="55" t="str">
        <f>IF(AND(B1638&lt;=NKC!$N$8,B1638&gt;=NKC!$M$8),"x","")</f>
        <v/>
      </c>
    </row>
    <row r="1639" spans="1:27" ht="15.75" customHeight="1">
      <c r="A1639" s="219" t="str">
        <f>IF(B1639&lt;&gt;"",IF(AND(B1639&gt;=_TM1,B1639&lt;=_TM2,OR(TH!L1639="1111",TH!M1639="1111")),TH!D1639,""),"")</f>
        <v/>
      </c>
      <c r="B1639" s="36" t="str">
        <f t="shared" si="57"/>
        <v/>
      </c>
      <c r="C1639" s="37"/>
      <c r="D1639" s="37"/>
      <c r="E1639" s="37"/>
      <c r="F1639" s="40"/>
      <c r="G1639" s="40"/>
      <c r="H1639" s="45"/>
      <c r="I1639" s="277"/>
      <c r="J1639" s="277"/>
      <c r="K1639" s="38"/>
      <c r="L1639" s="39"/>
      <c r="M1639" s="39"/>
      <c r="N1639" s="55" t="str">
        <f>IF(AND('331-CT'!$E$7=TH!H1639,OR(L1639="331",M1639="331")),"x","")</f>
        <v/>
      </c>
      <c r="O1639" s="55" t="str">
        <f>IF(AND($B1639&gt;='111'!$N$11,$B1639&lt;='111'!$O$11,OR($L1639=$O$7,$M1639=$O$7)),"x","")</f>
        <v/>
      </c>
      <c r="P1639" s="55" t="str">
        <f>IF(AND($L1639=$O$7,$B1639&lt;'111'!$N$11),"x","")</f>
        <v/>
      </c>
      <c r="Q1639" s="55" t="str">
        <f>IF(AND($M1639=$O$7,$B1639&lt;'111'!$N$11),"x","")</f>
        <v/>
      </c>
      <c r="R1639" s="55" t="str">
        <f>IF(ISERROR(FIND('112'!$M$9,G1639,1)),"",IF((AND(FIND('112'!$M$9,G1639,1)&gt;=1,$B1639&gt;='112'!$N$8,$B1639&lt;='112'!$O$8,OR($L1639='112'!$I$6,$M1639='112'!$I$6))),"x",""))</f>
        <v/>
      </c>
      <c r="S1639" s="55" t="str">
        <f>IF(ISERROR(FIND('112'!$M$9,G1639,1)),"",IF((AND(LEFT(G1639,2)=LEFT('112'!$M$9,2),B1639&lt;'112'!$N$8,$L1639='112'!$I$6)),"x",""))</f>
        <v/>
      </c>
      <c r="T1639" s="55" t="str">
        <f>IF(ISERROR(FIND('112'!$M$9,G1639,1)),"",IF((AND(RIGHT(G1639,2)=RIGHT('112'!$M$9,2),B1639&lt;'112'!$N$8,$M1639='112'!$I$6)),"x",""))</f>
        <v/>
      </c>
      <c r="U1639" s="55" t="str">
        <f>IF(AND('3411-CT'!$F$9=H1639,OR(LEFT(L1639,3)=$U$7,LEFT(M1639,3)=$U$7)),"x","")</f>
        <v/>
      </c>
      <c r="V1639" s="55" t="str">
        <f>IF(OR(TH!L1639=TH!$V$7,M1639=TH!$V$7),"x","")</f>
        <v/>
      </c>
      <c r="W1639" s="55" t="str">
        <f>IF(AND(OR(L1639="131",M1639="131"),H1639='131-CT'!$E$7),"x","")</f>
        <v/>
      </c>
      <c r="X1639" s="55" t="str">
        <f>IF(AND(B1639&gt;='IN-NX'!$P$3,B1639&lt;='IN-NX'!$Q$3,'IN-NX'!$D$7=D1639,OR(LEFT(TH!L1639,2)="15",LEFT(TH!M1639,2)="15")),"x","")</f>
        <v/>
      </c>
      <c r="Y1639" s="55" t="str">
        <f>IF(AND(OR(LEFT(TH!L1639,2)="15",LEFT(TH!M1639,2)="15"),'152-CT'!$J$8=TH!F1639),"x","")</f>
        <v/>
      </c>
      <c r="Z1639" s="55" t="str">
        <f>IF(AND(OR(LEFT(TH!L1639,2)="15",LEFT(TH!M1639,2)="15"),TK!$E$7=TH!F1639),"x","")</f>
        <v/>
      </c>
      <c r="AA1639" s="55" t="str">
        <f>IF(AND(B1639&lt;=NKC!$N$8,B1639&gt;=NKC!$M$8),"x","")</f>
        <v/>
      </c>
    </row>
    <row r="1650" spans="11:11">
      <c r="K1650" s="576">
        <f>SUBTOTAL(9,K10:K1639)</f>
        <v>11220577703</v>
      </c>
    </row>
  </sheetData>
  <autoFilter ref="A9:X1639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778" customWidth="1"/>
    <col min="2" max="2" width="11.42578125" style="778" customWidth="1"/>
    <col min="3" max="3" width="13" style="778" customWidth="1"/>
    <col min="4" max="4" width="55.28515625" style="778" customWidth="1"/>
    <col min="5" max="5" width="6" style="778" customWidth="1"/>
    <col min="6" max="7" width="8.5703125" style="778" customWidth="1"/>
    <col min="8" max="9" width="16.85546875" style="778" customWidth="1"/>
    <col min="10" max="11" width="9.140625" style="778"/>
    <col min="12" max="12" width="3.5703125" style="778" customWidth="1"/>
    <col min="13" max="256" width="9.140625" style="778"/>
    <col min="257" max="257" width="13" style="778" customWidth="1"/>
    <col min="258" max="258" width="9.140625" style="778"/>
    <col min="259" max="259" width="13" style="778" customWidth="1"/>
    <col min="260" max="260" width="29.7109375" style="778" customWidth="1"/>
    <col min="261" max="261" width="7.7109375" style="778" customWidth="1"/>
    <col min="262" max="262" width="6" style="778" customWidth="1"/>
    <col min="263" max="263" width="11.5703125" style="778" customWidth="1"/>
    <col min="264" max="264" width="13.42578125" style="778" customWidth="1"/>
    <col min="265" max="265" width="13.85546875" style="778" customWidth="1"/>
    <col min="266" max="512" width="9.140625" style="778"/>
    <col min="513" max="513" width="13" style="778" customWidth="1"/>
    <col min="514" max="514" width="9.140625" style="778"/>
    <col min="515" max="515" width="13" style="778" customWidth="1"/>
    <col min="516" max="516" width="29.7109375" style="778" customWidth="1"/>
    <col min="517" max="517" width="7.7109375" style="778" customWidth="1"/>
    <col min="518" max="518" width="6" style="778" customWidth="1"/>
    <col min="519" max="519" width="11.5703125" style="778" customWidth="1"/>
    <col min="520" max="520" width="13.42578125" style="778" customWidth="1"/>
    <col min="521" max="521" width="13.85546875" style="778" customWidth="1"/>
    <col min="522" max="768" width="9.140625" style="778"/>
    <col min="769" max="769" width="13" style="778" customWidth="1"/>
    <col min="770" max="770" width="9.140625" style="778"/>
    <col min="771" max="771" width="13" style="778" customWidth="1"/>
    <col min="772" max="772" width="29.7109375" style="778" customWidth="1"/>
    <col min="773" max="773" width="7.7109375" style="778" customWidth="1"/>
    <col min="774" max="774" width="6" style="778" customWidth="1"/>
    <col min="775" max="775" width="11.5703125" style="778" customWidth="1"/>
    <col min="776" max="776" width="13.42578125" style="778" customWidth="1"/>
    <col min="777" max="777" width="13.85546875" style="778" customWidth="1"/>
    <col min="778" max="1024" width="9.140625" style="778"/>
    <col min="1025" max="1025" width="13" style="778" customWidth="1"/>
    <col min="1026" max="1026" width="9.140625" style="778"/>
    <col min="1027" max="1027" width="13" style="778" customWidth="1"/>
    <col min="1028" max="1028" width="29.7109375" style="778" customWidth="1"/>
    <col min="1029" max="1029" width="7.7109375" style="778" customWidth="1"/>
    <col min="1030" max="1030" width="6" style="778" customWidth="1"/>
    <col min="1031" max="1031" width="11.5703125" style="778" customWidth="1"/>
    <col min="1032" max="1032" width="13.42578125" style="778" customWidth="1"/>
    <col min="1033" max="1033" width="13.85546875" style="778" customWidth="1"/>
    <col min="1034" max="1280" width="9.140625" style="778"/>
    <col min="1281" max="1281" width="13" style="778" customWidth="1"/>
    <col min="1282" max="1282" width="9.140625" style="778"/>
    <col min="1283" max="1283" width="13" style="778" customWidth="1"/>
    <col min="1284" max="1284" width="29.7109375" style="778" customWidth="1"/>
    <col min="1285" max="1285" width="7.7109375" style="778" customWidth="1"/>
    <col min="1286" max="1286" width="6" style="778" customWidth="1"/>
    <col min="1287" max="1287" width="11.5703125" style="778" customWidth="1"/>
    <col min="1288" max="1288" width="13.42578125" style="778" customWidth="1"/>
    <col min="1289" max="1289" width="13.85546875" style="778" customWidth="1"/>
    <col min="1290" max="1536" width="9.140625" style="778"/>
    <col min="1537" max="1537" width="13" style="778" customWidth="1"/>
    <col min="1538" max="1538" width="9.140625" style="778"/>
    <col min="1539" max="1539" width="13" style="778" customWidth="1"/>
    <col min="1540" max="1540" width="29.7109375" style="778" customWidth="1"/>
    <col min="1541" max="1541" width="7.7109375" style="778" customWidth="1"/>
    <col min="1542" max="1542" width="6" style="778" customWidth="1"/>
    <col min="1543" max="1543" width="11.5703125" style="778" customWidth="1"/>
    <col min="1544" max="1544" width="13.42578125" style="778" customWidth="1"/>
    <col min="1545" max="1545" width="13.85546875" style="778" customWidth="1"/>
    <col min="1546" max="1792" width="9.140625" style="778"/>
    <col min="1793" max="1793" width="13" style="778" customWidth="1"/>
    <col min="1794" max="1794" width="9.140625" style="778"/>
    <col min="1795" max="1795" width="13" style="778" customWidth="1"/>
    <col min="1796" max="1796" width="29.7109375" style="778" customWidth="1"/>
    <col min="1797" max="1797" width="7.7109375" style="778" customWidth="1"/>
    <col min="1798" max="1798" width="6" style="778" customWidth="1"/>
    <col min="1799" max="1799" width="11.5703125" style="778" customWidth="1"/>
    <col min="1800" max="1800" width="13.42578125" style="778" customWidth="1"/>
    <col min="1801" max="1801" width="13.85546875" style="778" customWidth="1"/>
    <col min="1802" max="2048" width="9.140625" style="778"/>
    <col min="2049" max="2049" width="13" style="778" customWidth="1"/>
    <col min="2050" max="2050" width="9.140625" style="778"/>
    <col min="2051" max="2051" width="13" style="778" customWidth="1"/>
    <col min="2052" max="2052" width="29.7109375" style="778" customWidth="1"/>
    <col min="2053" max="2053" width="7.7109375" style="778" customWidth="1"/>
    <col min="2054" max="2054" width="6" style="778" customWidth="1"/>
    <col min="2055" max="2055" width="11.5703125" style="778" customWidth="1"/>
    <col min="2056" max="2056" width="13.42578125" style="778" customWidth="1"/>
    <col min="2057" max="2057" width="13.85546875" style="778" customWidth="1"/>
    <col min="2058" max="2304" width="9.140625" style="778"/>
    <col min="2305" max="2305" width="13" style="778" customWidth="1"/>
    <col min="2306" max="2306" width="9.140625" style="778"/>
    <col min="2307" max="2307" width="13" style="778" customWidth="1"/>
    <col min="2308" max="2308" width="29.7109375" style="778" customWidth="1"/>
    <col min="2309" max="2309" width="7.7109375" style="778" customWidth="1"/>
    <col min="2310" max="2310" width="6" style="778" customWidth="1"/>
    <col min="2311" max="2311" width="11.5703125" style="778" customWidth="1"/>
    <col min="2312" max="2312" width="13.42578125" style="778" customWidth="1"/>
    <col min="2313" max="2313" width="13.85546875" style="778" customWidth="1"/>
    <col min="2314" max="2560" width="9.140625" style="778"/>
    <col min="2561" max="2561" width="13" style="778" customWidth="1"/>
    <col min="2562" max="2562" width="9.140625" style="778"/>
    <col min="2563" max="2563" width="13" style="778" customWidth="1"/>
    <col min="2564" max="2564" width="29.7109375" style="778" customWidth="1"/>
    <col min="2565" max="2565" width="7.7109375" style="778" customWidth="1"/>
    <col min="2566" max="2566" width="6" style="778" customWidth="1"/>
    <col min="2567" max="2567" width="11.5703125" style="778" customWidth="1"/>
    <col min="2568" max="2568" width="13.42578125" style="778" customWidth="1"/>
    <col min="2569" max="2569" width="13.85546875" style="778" customWidth="1"/>
    <col min="2570" max="2816" width="9.140625" style="778"/>
    <col min="2817" max="2817" width="13" style="778" customWidth="1"/>
    <col min="2818" max="2818" width="9.140625" style="778"/>
    <col min="2819" max="2819" width="13" style="778" customWidth="1"/>
    <col min="2820" max="2820" width="29.7109375" style="778" customWidth="1"/>
    <col min="2821" max="2821" width="7.7109375" style="778" customWidth="1"/>
    <col min="2822" max="2822" width="6" style="778" customWidth="1"/>
    <col min="2823" max="2823" width="11.5703125" style="778" customWidth="1"/>
    <col min="2824" max="2824" width="13.42578125" style="778" customWidth="1"/>
    <col min="2825" max="2825" width="13.85546875" style="778" customWidth="1"/>
    <col min="2826" max="3072" width="9.140625" style="778"/>
    <col min="3073" max="3073" width="13" style="778" customWidth="1"/>
    <col min="3074" max="3074" width="9.140625" style="778"/>
    <col min="3075" max="3075" width="13" style="778" customWidth="1"/>
    <col min="3076" max="3076" width="29.7109375" style="778" customWidth="1"/>
    <col min="3077" max="3077" width="7.7109375" style="778" customWidth="1"/>
    <col min="3078" max="3078" width="6" style="778" customWidth="1"/>
    <col min="3079" max="3079" width="11.5703125" style="778" customWidth="1"/>
    <col min="3080" max="3080" width="13.42578125" style="778" customWidth="1"/>
    <col min="3081" max="3081" width="13.85546875" style="778" customWidth="1"/>
    <col min="3082" max="3328" width="9.140625" style="778"/>
    <col min="3329" max="3329" width="13" style="778" customWidth="1"/>
    <col min="3330" max="3330" width="9.140625" style="778"/>
    <col min="3331" max="3331" width="13" style="778" customWidth="1"/>
    <col min="3332" max="3332" width="29.7109375" style="778" customWidth="1"/>
    <col min="3333" max="3333" width="7.7109375" style="778" customWidth="1"/>
    <col min="3334" max="3334" width="6" style="778" customWidth="1"/>
    <col min="3335" max="3335" width="11.5703125" style="778" customWidth="1"/>
    <col min="3336" max="3336" width="13.42578125" style="778" customWidth="1"/>
    <col min="3337" max="3337" width="13.85546875" style="778" customWidth="1"/>
    <col min="3338" max="3584" width="9.140625" style="778"/>
    <col min="3585" max="3585" width="13" style="778" customWidth="1"/>
    <col min="3586" max="3586" width="9.140625" style="778"/>
    <col min="3587" max="3587" width="13" style="778" customWidth="1"/>
    <col min="3588" max="3588" width="29.7109375" style="778" customWidth="1"/>
    <col min="3589" max="3589" width="7.7109375" style="778" customWidth="1"/>
    <col min="3590" max="3590" width="6" style="778" customWidth="1"/>
    <col min="3591" max="3591" width="11.5703125" style="778" customWidth="1"/>
    <col min="3592" max="3592" width="13.42578125" style="778" customWidth="1"/>
    <col min="3593" max="3593" width="13.85546875" style="778" customWidth="1"/>
    <col min="3594" max="3840" width="9.140625" style="778"/>
    <col min="3841" max="3841" width="13" style="778" customWidth="1"/>
    <col min="3842" max="3842" width="9.140625" style="778"/>
    <col min="3843" max="3843" width="13" style="778" customWidth="1"/>
    <col min="3844" max="3844" width="29.7109375" style="778" customWidth="1"/>
    <col min="3845" max="3845" width="7.7109375" style="778" customWidth="1"/>
    <col min="3846" max="3846" width="6" style="778" customWidth="1"/>
    <col min="3847" max="3847" width="11.5703125" style="778" customWidth="1"/>
    <col min="3848" max="3848" width="13.42578125" style="778" customWidth="1"/>
    <col min="3849" max="3849" width="13.85546875" style="778" customWidth="1"/>
    <col min="3850" max="4096" width="9.140625" style="778"/>
    <col min="4097" max="4097" width="13" style="778" customWidth="1"/>
    <col min="4098" max="4098" width="9.140625" style="778"/>
    <col min="4099" max="4099" width="13" style="778" customWidth="1"/>
    <col min="4100" max="4100" width="29.7109375" style="778" customWidth="1"/>
    <col min="4101" max="4101" width="7.7109375" style="778" customWidth="1"/>
    <col min="4102" max="4102" width="6" style="778" customWidth="1"/>
    <col min="4103" max="4103" width="11.5703125" style="778" customWidth="1"/>
    <col min="4104" max="4104" width="13.42578125" style="778" customWidth="1"/>
    <col min="4105" max="4105" width="13.85546875" style="778" customWidth="1"/>
    <col min="4106" max="4352" width="9.140625" style="778"/>
    <col min="4353" max="4353" width="13" style="778" customWidth="1"/>
    <col min="4354" max="4354" width="9.140625" style="778"/>
    <col min="4355" max="4355" width="13" style="778" customWidth="1"/>
    <col min="4356" max="4356" width="29.7109375" style="778" customWidth="1"/>
    <col min="4357" max="4357" width="7.7109375" style="778" customWidth="1"/>
    <col min="4358" max="4358" width="6" style="778" customWidth="1"/>
    <col min="4359" max="4359" width="11.5703125" style="778" customWidth="1"/>
    <col min="4360" max="4360" width="13.42578125" style="778" customWidth="1"/>
    <col min="4361" max="4361" width="13.85546875" style="778" customWidth="1"/>
    <col min="4362" max="4608" width="9.140625" style="778"/>
    <col min="4609" max="4609" width="13" style="778" customWidth="1"/>
    <col min="4610" max="4610" width="9.140625" style="778"/>
    <col min="4611" max="4611" width="13" style="778" customWidth="1"/>
    <col min="4612" max="4612" width="29.7109375" style="778" customWidth="1"/>
    <col min="4613" max="4613" width="7.7109375" style="778" customWidth="1"/>
    <col min="4614" max="4614" width="6" style="778" customWidth="1"/>
    <col min="4615" max="4615" width="11.5703125" style="778" customWidth="1"/>
    <col min="4616" max="4616" width="13.42578125" style="778" customWidth="1"/>
    <col min="4617" max="4617" width="13.85546875" style="778" customWidth="1"/>
    <col min="4618" max="4864" width="9.140625" style="778"/>
    <col min="4865" max="4865" width="13" style="778" customWidth="1"/>
    <col min="4866" max="4866" width="9.140625" style="778"/>
    <col min="4867" max="4867" width="13" style="778" customWidth="1"/>
    <col min="4868" max="4868" width="29.7109375" style="778" customWidth="1"/>
    <col min="4869" max="4869" width="7.7109375" style="778" customWidth="1"/>
    <col min="4870" max="4870" width="6" style="778" customWidth="1"/>
    <col min="4871" max="4871" width="11.5703125" style="778" customWidth="1"/>
    <col min="4872" max="4872" width="13.42578125" style="778" customWidth="1"/>
    <col min="4873" max="4873" width="13.85546875" style="778" customWidth="1"/>
    <col min="4874" max="5120" width="9.140625" style="778"/>
    <col min="5121" max="5121" width="13" style="778" customWidth="1"/>
    <col min="5122" max="5122" width="9.140625" style="778"/>
    <col min="5123" max="5123" width="13" style="778" customWidth="1"/>
    <col min="5124" max="5124" width="29.7109375" style="778" customWidth="1"/>
    <col min="5125" max="5125" width="7.7109375" style="778" customWidth="1"/>
    <col min="5126" max="5126" width="6" style="778" customWidth="1"/>
    <col min="5127" max="5127" width="11.5703125" style="778" customWidth="1"/>
    <col min="5128" max="5128" width="13.42578125" style="778" customWidth="1"/>
    <col min="5129" max="5129" width="13.85546875" style="778" customWidth="1"/>
    <col min="5130" max="5376" width="9.140625" style="778"/>
    <col min="5377" max="5377" width="13" style="778" customWidth="1"/>
    <col min="5378" max="5378" width="9.140625" style="778"/>
    <col min="5379" max="5379" width="13" style="778" customWidth="1"/>
    <col min="5380" max="5380" width="29.7109375" style="778" customWidth="1"/>
    <col min="5381" max="5381" width="7.7109375" style="778" customWidth="1"/>
    <col min="5382" max="5382" width="6" style="778" customWidth="1"/>
    <col min="5383" max="5383" width="11.5703125" style="778" customWidth="1"/>
    <col min="5384" max="5384" width="13.42578125" style="778" customWidth="1"/>
    <col min="5385" max="5385" width="13.85546875" style="778" customWidth="1"/>
    <col min="5386" max="5632" width="9.140625" style="778"/>
    <col min="5633" max="5633" width="13" style="778" customWidth="1"/>
    <col min="5634" max="5634" width="9.140625" style="778"/>
    <col min="5635" max="5635" width="13" style="778" customWidth="1"/>
    <col min="5636" max="5636" width="29.7109375" style="778" customWidth="1"/>
    <col min="5637" max="5637" width="7.7109375" style="778" customWidth="1"/>
    <col min="5638" max="5638" width="6" style="778" customWidth="1"/>
    <col min="5639" max="5639" width="11.5703125" style="778" customWidth="1"/>
    <col min="5640" max="5640" width="13.42578125" style="778" customWidth="1"/>
    <col min="5641" max="5641" width="13.85546875" style="778" customWidth="1"/>
    <col min="5642" max="5888" width="9.140625" style="778"/>
    <col min="5889" max="5889" width="13" style="778" customWidth="1"/>
    <col min="5890" max="5890" width="9.140625" style="778"/>
    <col min="5891" max="5891" width="13" style="778" customWidth="1"/>
    <col min="5892" max="5892" width="29.7109375" style="778" customWidth="1"/>
    <col min="5893" max="5893" width="7.7109375" style="778" customWidth="1"/>
    <col min="5894" max="5894" width="6" style="778" customWidth="1"/>
    <col min="5895" max="5895" width="11.5703125" style="778" customWidth="1"/>
    <col min="5896" max="5896" width="13.42578125" style="778" customWidth="1"/>
    <col min="5897" max="5897" width="13.85546875" style="778" customWidth="1"/>
    <col min="5898" max="6144" width="9.140625" style="778"/>
    <col min="6145" max="6145" width="13" style="778" customWidth="1"/>
    <col min="6146" max="6146" width="9.140625" style="778"/>
    <col min="6147" max="6147" width="13" style="778" customWidth="1"/>
    <col min="6148" max="6148" width="29.7109375" style="778" customWidth="1"/>
    <col min="6149" max="6149" width="7.7109375" style="778" customWidth="1"/>
    <col min="6150" max="6150" width="6" style="778" customWidth="1"/>
    <col min="6151" max="6151" width="11.5703125" style="778" customWidth="1"/>
    <col min="6152" max="6152" width="13.42578125" style="778" customWidth="1"/>
    <col min="6153" max="6153" width="13.85546875" style="778" customWidth="1"/>
    <col min="6154" max="6400" width="9.140625" style="778"/>
    <col min="6401" max="6401" width="13" style="778" customWidth="1"/>
    <col min="6402" max="6402" width="9.140625" style="778"/>
    <col min="6403" max="6403" width="13" style="778" customWidth="1"/>
    <col min="6404" max="6404" width="29.7109375" style="778" customWidth="1"/>
    <col min="6405" max="6405" width="7.7109375" style="778" customWidth="1"/>
    <col min="6406" max="6406" width="6" style="778" customWidth="1"/>
    <col min="6407" max="6407" width="11.5703125" style="778" customWidth="1"/>
    <col min="6408" max="6408" width="13.42578125" style="778" customWidth="1"/>
    <col min="6409" max="6409" width="13.85546875" style="778" customWidth="1"/>
    <col min="6410" max="6656" width="9.140625" style="778"/>
    <col min="6657" max="6657" width="13" style="778" customWidth="1"/>
    <col min="6658" max="6658" width="9.140625" style="778"/>
    <col min="6659" max="6659" width="13" style="778" customWidth="1"/>
    <col min="6660" max="6660" width="29.7109375" style="778" customWidth="1"/>
    <col min="6661" max="6661" width="7.7109375" style="778" customWidth="1"/>
    <col min="6662" max="6662" width="6" style="778" customWidth="1"/>
    <col min="6663" max="6663" width="11.5703125" style="778" customWidth="1"/>
    <col min="6664" max="6664" width="13.42578125" style="778" customWidth="1"/>
    <col min="6665" max="6665" width="13.85546875" style="778" customWidth="1"/>
    <col min="6666" max="6912" width="9.140625" style="778"/>
    <col min="6913" max="6913" width="13" style="778" customWidth="1"/>
    <col min="6914" max="6914" width="9.140625" style="778"/>
    <col min="6915" max="6915" width="13" style="778" customWidth="1"/>
    <col min="6916" max="6916" width="29.7109375" style="778" customWidth="1"/>
    <col min="6917" max="6917" width="7.7109375" style="778" customWidth="1"/>
    <col min="6918" max="6918" width="6" style="778" customWidth="1"/>
    <col min="6919" max="6919" width="11.5703125" style="778" customWidth="1"/>
    <col min="6920" max="6920" width="13.42578125" style="778" customWidth="1"/>
    <col min="6921" max="6921" width="13.85546875" style="778" customWidth="1"/>
    <col min="6922" max="7168" width="9.140625" style="778"/>
    <col min="7169" max="7169" width="13" style="778" customWidth="1"/>
    <col min="7170" max="7170" width="9.140625" style="778"/>
    <col min="7171" max="7171" width="13" style="778" customWidth="1"/>
    <col min="7172" max="7172" width="29.7109375" style="778" customWidth="1"/>
    <col min="7173" max="7173" width="7.7109375" style="778" customWidth="1"/>
    <col min="7174" max="7174" width="6" style="778" customWidth="1"/>
    <col min="7175" max="7175" width="11.5703125" style="778" customWidth="1"/>
    <col min="7176" max="7176" width="13.42578125" style="778" customWidth="1"/>
    <col min="7177" max="7177" width="13.85546875" style="778" customWidth="1"/>
    <col min="7178" max="7424" width="9.140625" style="778"/>
    <col min="7425" max="7425" width="13" style="778" customWidth="1"/>
    <col min="7426" max="7426" width="9.140625" style="778"/>
    <col min="7427" max="7427" width="13" style="778" customWidth="1"/>
    <col min="7428" max="7428" width="29.7109375" style="778" customWidth="1"/>
    <col min="7429" max="7429" width="7.7109375" style="778" customWidth="1"/>
    <col min="7430" max="7430" width="6" style="778" customWidth="1"/>
    <col min="7431" max="7431" width="11.5703125" style="778" customWidth="1"/>
    <col min="7432" max="7432" width="13.42578125" style="778" customWidth="1"/>
    <col min="7433" max="7433" width="13.85546875" style="778" customWidth="1"/>
    <col min="7434" max="7680" width="9.140625" style="778"/>
    <col min="7681" max="7681" width="13" style="778" customWidth="1"/>
    <col min="7682" max="7682" width="9.140625" style="778"/>
    <col min="7683" max="7683" width="13" style="778" customWidth="1"/>
    <col min="7684" max="7684" width="29.7109375" style="778" customWidth="1"/>
    <col min="7685" max="7685" width="7.7109375" style="778" customWidth="1"/>
    <col min="7686" max="7686" width="6" style="778" customWidth="1"/>
    <col min="7687" max="7687" width="11.5703125" style="778" customWidth="1"/>
    <col min="7688" max="7688" width="13.42578125" style="778" customWidth="1"/>
    <col min="7689" max="7689" width="13.85546875" style="778" customWidth="1"/>
    <col min="7690" max="7936" width="9.140625" style="778"/>
    <col min="7937" max="7937" width="13" style="778" customWidth="1"/>
    <col min="7938" max="7938" width="9.140625" style="778"/>
    <col min="7939" max="7939" width="13" style="778" customWidth="1"/>
    <col min="7940" max="7940" width="29.7109375" style="778" customWidth="1"/>
    <col min="7941" max="7941" width="7.7109375" style="778" customWidth="1"/>
    <col min="7942" max="7942" width="6" style="778" customWidth="1"/>
    <col min="7943" max="7943" width="11.5703125" style="778" customWidth="1"/>
    <col min="7944" max="7944" width="13.42578125" style="778" customWidth="1"/>
    <col min="7945" max="7945" width="13.85546875" style="778" customWidth="1"/>
    <col min="7946" max="8192" width="9.140625" style="778"/>
    <col min="8193" max="8193" width="13" style="778" customWidth="1"/>
    <col min="8194" max="8194" width="9.140625" style="778"/>
    <col min="8195" max="8195" width="13" style="778" customWidth="1"/>
    <col min="8196" max="8196" width="29.7109375" style="778" customWidth="1"/>
    <col min="8197" max="8197" width="7.7109375" style="778" customWidth="1"/>
    <col min="8198" max="8198" width="6" style="778" customWidth="1"/>
    <col min="8199" max="8199" width="11.5703125" style="778" customWidth="1"/>
    <col min="8200" max="8200" width="13.42578125" style="778" customWidth="1"/>
    <col min="8201" max="8201" width="13.85546875" style="778" customWidth="1"/>
    <col min="8202" max="8448" width="9.140625" style="778"/>
    <col min="8449" max="8449" width="13" style="778" customWidth="1"/>
    <col min="8450" max="8450" width="9.140625" style="778"/>
    <col min="8451" max="8451" width="13" style="778" customWidth="1"/>
    <col min="8452" max="8452" width="29.7109375" style="778" customWidth="1"/>
    <col min="8453" max="8453" width="7.7109375" style="778" customWidth="1"/>
    <col min="8454" max="8454" width="6" style="778" customWidth="1"/>
    <col min="8455" max="8455" width="11.5703125" style="778" customWidth="1"/>
    <col min="8456" max="8456" width="13.42578125" style="778" customWidth="1"/>
    <col min="8457" max="8457" width="13.85546875" style="778" customWidth="1"/>
    <col min="8458" max="8704" width="9.140625" style="778"/>
    <col min="8705" max="8705" width="13" style="778" customWidth="1"/>
    <col min="8706" max="8706" width="9.140625" style="778"/>
    <col min="8707" max="8707" width="13" style="778" customWidth="1"/>
    <col min="8708" max="8708" width="29.7109375" style="778" customWidth="1"/>
    <col min="8709" max="8709" width="7.7109375" style="778" customWidth="1"/>
    <col min="8710" max="8710" width="6" style="778" customWidth="1"/>
    <col min="8711" max="8711" width="11.5703125" style="778" customWidth="1"/>
    <col min="8712" max="8712" width="13.42578125" style="778" customWidth="1"/>
    <col min="8713" max="8713" width="13.85546875" style="778" customWidth="1"/>
    <col min="8714" max="8960" width="9.140625" style="778"/>
    <col min="8961" max="8961" width="13" style="778" customWidth="1"/>
    <col min="8962" max="8962" width="9.140625" style="778"/>
    <col min="8963" max="8963" width="13" style="778" customWidth="1"/>
    <col min="8964" max="8964" width="29.7109375" style="778" customWidth="1"/>
    <col min="8965" max="8965" width="7.7109375" style="778" customWidth="1"/>
    <col min="8966" max="8966" width="6" style="778" customWidth="1"/>
    <col min="8967" max="8967" width="11.5703125" style="778" customWidth="1"/>
    <col min="8968" max="8968" width="13.42578125" style="778" customWidth="1"/>
    <col min="8969" max="8969" width="13.85546875" style="778" customWidth="1"/>
    <col min="8970" max="9216" width="9.140625" style="778"/>
    <col min="9217" max="9217" width="13" style="778" customWidth="1"/>
    <col min="9218" max="9218" width="9.140625" style="778"/>
    <col min="9219" max="9219" width="13" style="778" customWidth="1"/>
    <col min="9220" max="9220" width="29.7109375" style="778" customWidth="1"/>
    <col min="9221" max="9221" width="7.7109375" style="778" customWidth="1"/>
    <col min="9222" max="9222" width="6" style="778" customWidth="1"/>
    <col min="9223" max="9223" width="11.5703125" style="778" customWidth="1"/>
    <col min="9224" max="9224" width="13.42578125" style="778" customWidth="1"/>
    <col min="9225" max="9225" width="13.85546875" style="778" customWidth="1"/>
    <col min="9226" max="9472" width="9.140625" style="778"/>
    <col min="9473" max="9473" width="13" style="778" customWidth="1"/>
    <col min="9474" max="9474" width="9.140625" style="778"/>
    <col min="9475" max="9475" width="13" style="778" customWidth="1"/>
    <col min="9476" max="9476" width="29.7109375" style="778" customWidth="1"/>
    <col min="9477" max="9477" width="7.7109375" style="778" customWidth="1"/>
    <col min="9478" max="9478" width="6" style="778" customWidth="1"/>
    <col min="9479" max="9479" width="11.5703125" style="778" customWidth="1"/>
    <col min="9480" max="9480" width="13.42578125" style="778" customWidth="1"/>
    <col min="9481" max="9481" width="13.85546875" style="778" customWidth="1"/>
    <col min="9482" max="9728" width="9.140625" style="778"/>
    <col min="9729" max="9729" width="13" style="778" customWidth="1"/>
    <col min="9730" max="9730" width="9.140625" style="778"/>
    <col min="9731" max="9731" width="13" style="778" customWidth="1"/>
    <col min="9732" max="9732" width="29.7109375" style="778" customWidth="1"/>
    <col min="9733" max="9733" width="7.7109375" style="778" customWidth="1"/>
    <col min="9734" max="9734" width="6" style="778" customWidth="1"/>
    <col min="9735" max="9735" width="11.5703125" style="778" customWidth="1"/>
    <col min="9736" max="9736" width="13.42578125" style="778" customWidth="1"/>
    <col min="9737" max="9737" width="13.85546875" style="778" customWidth="1"/>
    <col min="9738" max="9984" width="9.140625" style="778"/>
    <col min="9985" max="9985" width="13" style="778" customWidth="1"/>
    <col min="9986" max="9986" width="9.140625" style="778"/>
    <col min="9987" max="9987" width="13" style="778" customWidth="1"/>
    <col min="9988" max="9988" width="29.7109375" style="778" customWidth="1"/>
    <col min="9989" max="9989" width="7.7109375" style="778" customWidth="1"/>
    <col min="9990" max="9990" width="6" style="778" customWidth="1"/>
    <col min="9991" max="9991" width="11.5703125" style="778" customWidth="1"/>
    <col min="9992" max="9992" width="13.42578125" style="778" customWidth="1"/>
    <col min="9993" max="9993" width="13.85546875" style="778" customWidth="1"/>
    <col min="9994" max="10240" width="9.140625" style="778"/>
    <col min="10241" max="10241" width="13" style="778" customWidth="1"/>
    <col min="10242" max="10242" width="9.140625" style="778"/>
    <col min="10243" max="10243" width="13" style="778" customWidth="1"/>
    <col min="10244" max="10244" width="29.7109375" style="778" customWidth="1"/>
    <col min="10245" max="10245" width="7.7109375" style="778" customWidth="1"/>
    <col min="10246" max="10246" width="6" style="778" customWidth="1"/>
    <col min="10247" max="10247" width="11.5703125" style="778" customWidth="1"/>
    <col min="10248" max="10248" width="13.42578125" style="778" customWidth="1"/>
    <col min="10249" max="10249" width="13.85546875" style="778" customWidth="1"/>
    <col min="10250" max="10496" width="9.140625" style="778"/>
    <col min="10497" max="10497" width="13" style="778" customWidth="1"/>
    <col min="10498" max="10498" width="9.140625" style="778"/>
    <col min="10499" max="10499" width="13" style="778" customWidth="1"/>
    <col min="10500" max="10500" width="29.7109375" style="778" customWidth="1"/>
    <col min="10501" max="10501" width="7.7109375" style="778" customWidth="1"/>
    <col min="10502" max="10502" width="6" style="778" customWidth="1"/>
    <col min="10503" max="10503" width="11.5703125" style="778" customWidth="1"/>
    <col min="10504" max="10504" width="13.42578125" style="778" customWidth="1"/>
    <col min="10505" max="10505" width="13.85546875" style="778" customWidth="1"/>
    <col min="10506" max="10752" width="9.140625" style="778"/>
    <col min="10753" max="10753" width="13" style="778" customWidth="1"/>
    <col min="10754" max="10754" width="9.140625" style="778"/>
    <col min="10755" max="10755" width="13" style="778" customWidth="1"/>
    <col min="10756" max="10756" width="29.7109375" style="778" customWidth="1"/>
    <col min="10757" max="10757" width="7.7109375" style="778" customWidth="1"/>
    <col min="10758" max="10758" width="6" style="778" customWidth="1"/>
    <col min="10759" max="10759" width="11.5703125" style="778" customWidth="1"/>
    <col min="10760" max="10760" width="13.42578125" style="778" customWidth="1"/>
    <col min="10761" max="10761" width="13.85546875" style="778" customWidth="1"/>
    <col min="10762" max="11008" width="9.140625" style="778"/>
    <col min="11009" max="11009" width="13" style="778" customWidth="1"/>
    <col min="11010" max="11010" width="9.140625" style="778"/>
    <col min="11011" max="11011" width="13" style="778" customWidth="1"/>
    <col min="11012" max="11012" width="29.7109375" style="778" customWidth="1"/>
    <col min="11013" max="11013" width="7.7109375" style="778" customWidth="1"/>
    <col min="11014" max="11014" width="6" style="778" customWidth="1"/>
    <col min="11015" max="11015" width="11.5703125" style="778" customWidth="1"/>
    <col min="11016" max="11016" width="13.42578125" style="778" customWidth="1"/>
    <col min="11017" max="11017" width="13.85546875" style="778" customWidth="1"/>
    <col min="11018" max="11264" width="9.140625" style="778"/>
    <col min="11265" max="11265" width="13" style="778" customWidth="1"/>
    <col min="11266" max="11266" width="9.140625" style="778"/>
    <col min="11267" max="11267" width="13" style="778" customWidth="1"/>
    <col min="11268" max="11268" width="29.7109375" style="778" customWidth="1"/>
    <col min="11269" max="11269" width="7.7109375" style="778" customWidth="1"/>
    <col min="11270" max="11270" width="6" style="778" customWidth="1"/>
    <col min="11271" max="11271" width="11.5703125" style="778" customWidth="1"/>
    <col min="11272" max="11272" width="13.42578125" style="778" customWidth="1"/>
    <col min="11273" max="11273" width="13.85546875" style="778" customWidth="1"/>
    <col min="11274" max="11520" width="9.140625" style="778"/>
    <col min="11521" max="11521" width="13" style="778" customWidth="1"/>
    <col min="11522" max="11522" width="9.140625" style="778"/>
    <col min="11523" max="11523" width="13" style="778" customWidth="1"/>
    <col min="11524" max="11524" width="29.7109375" style="778" customWidth="1"/>
    <col min="11525" max="11525" width="7.7109375" style="778" customWidth="1"/>
    <col min="11526" max="11526" width="6" style="778" customWidth="1"/>
    <col min="11527" max="11527" width="11.5703125" style="778" customWidth="1"/>
    <col min="11528" max="11528" width="13.42578125" style="778" customWidth="1"/>
    <col min="11529" max="11529" width="13.85546875" style="778" customWidth="1"/>
    <col min="11530" max="11776" width="9.140625" style="778"/>
    <col min="11777" max="11777" width="13" style="778" customWidth="1"/>
    <col min="11778" max="11778" width="9.140625" style="778"/>
    <col min="11779" max="11779" width="13" style="778" customWidth="1"/>
    <col min="11780" max="11780" width="29.7109375" style="778" customWidth="1"/>
    <col min="11781" max="11781" width="7.7109375" style="778" customWidth="1"/>
    <col min="11782" max="11782" width="6" style="778" customWidth="1"/>
    <col min="11783" max="11783" width="11.5703125" style="778" customWidth="1"/>
    <col min="11784" max="11784" width="13.42578125" style="778" customWidth="1"/>
    <col min="11785" max="11785" width="13.85546875" style="778" customWidth="1"/>
    <col min="11786" max="12032" width="9.140625" style="778"/>
    <col min="12033" max="12033" width="13" style="778" customWidth="1"/>
    <col min="12034" max="12034" width="9.140625" style="778"/>
    <col min="12035" max="12035" width="13" style="778" customWidth="1"/>
    <col min="12036" max="12036" width="29.7109375" style="778" customWidth="1"/>
    <col min="12037" max="12037" width="7.7109375" style="778" customWidth="1"/>
    <col min="12038" max="12038" width="6" style="778" customWidth="1"/>
    <col min="12039" max="12039" width="11.5703125" style="778" customWidth="1"/>
    <col min="12040" max="12040" width="13.42578125" style="778" customWidth="1"/>
    <col min="12041" max="12041" width="13.85546875" style="778" customWidth="1"/>
    <col min="12042" max="12288" width="9.140625" style="778"/>
    <col min="12289" max="12289" width="13" style="778" customWidth="1"/>
    <col min="12290" max="12290" width="9.140625" style="778"/>
    <col min="12291" max="12291" width="13" style="778" customWidth="1"/>
    <col min="12292" max="12292" width="29.7109375" style="778" customWidth="1"/>
    <col min="12293" max="12293" width="7.7109375" style="778" customWidth="1"/>
    <col min="12294" max="12294" width="6" style="778" customWidth="1"/>
    <col min="12295" max="12295" width="11.5703125" style="778" customWidth="1"/>
    <col min="12296" max="12296" width="13.42578125" style="778" customWidth="1"/>
    <col min="12297" max="12297" width="13.85546875" style="778" customWidth="1"/>
    <col min="12298" max="12544" width="9.140625" style="778"/>
    <col min="12545" max="12545" width="13" style="778" customWidth="1"/>
    <col min="12546" max="12546" width="9.140625" style="778"/>
    <col min="12547" max="12547" width="13" style="778" customWidth="1"/>
    <col min="12548" max="12548" width="29.7109375" style="778" customWidth="1"/>
    <col min="12549" max="12549" width="7.7109375" style="778" customWidth="1"/>
    <col min="12550" max="12550" width="6" style="778" customWidth="1"/>
    <col min="12551" max="12551" width="11.5703125" style="778" customWidth="1"/>
    <col min="12552" max="12552" width="13.42578125" style="778" customWidth="1"/>
    <col min="12553" max="12553" width="13.85546875" style="778" customWidth="1"/>
    <col min="12554" max="12800" width="9.140625" style="778"/>
    <col min="12801" max="12801" width="13" style="778" customWidth="1"/>
    <col min="12802" max="12802" width="9.140625" style="778"/>
    <col min="12803" max="12803" width="13" style="778" customWidth="1"/>
    <col min="12804" max="12804" width="29.7109375" style="778" customWidth="1"/>
    <col min="12805" max="12805" width="7.7109375" style="778" customWidth="1"/>
    <col min="12806" max="12806" width="6" style="778" customWidth="1"/>
    <col min="12807" max="12807" width="11.5703125" style="778" customWidth="1"/>
    <col min="12808" max="12808" width="13.42578125" style="778" customWidth="1"/>
    <col min="12809" max="12809" width="13.85546875" style="778" customWidth="1"/>
    <col min="12810" max="13056" width="9.140625" style="778"/>
    <col min="13057" max="13057" width="13" style="778" customWidth="1"/>
    <col min="13058" max="13058" width="9.140625" style="778"/>
    <col min="13059" max="13059" width="13" style="778" customWidth="1"/>
    <col min="13060" max="13060" width="29.7109375" style="778" customWidth="1"/>
    <col min="13061" max="13061" width="7.7109375" style="778" customWidth="1"/>
    <col min="13062" max="13062" width="6" style="778" customWidth="1"/>
    <col min="13063" max="13063" width="11.5703125" style="778" customWidth="1"/>
    <col min="13064" max="13064" width="13.42578125" style="778" customWidth="1"/>
    <col min="13065" max="13065" width="13.85546875" style="778" customWidth="1"/>
    <col min="13066" max="13312" width="9.140625" style="778"/>
    <col min="13313" max="13313" width="13" style="778" customWidth="1"/>
    <col min="13314" max="13314" width="9.140625" style="778"/>
    <col min="13315" max="13315" width="13" style="778" customWidth="1"/>
    <col min="13316" max="13316" width="29.7109375" style="778" customWidth="1"/>
    <col min="13317" max="13317" width="7.7109375" style="778" customWidth="1"/>
    <col min="13318" max="13318" width="6" style="778" customWidth="1"/>
    <col min="13319" max="13319" width="11.5703125" style="778" customWidth="1"/>
    <col min="13320" max="13320" width="13.42578125" style="778" customWidth="1"/>
    <col min="13321" max="13321" width="13.85546875" style="778" customWidth="1"/>
    <col min="13322" max="13568" width="9.140625" style="778"/>
    <col min="13569" max="13569" width="13" style="778" customWidth="1"/>
    <col min="13570" max="13570" width="9.140625" style="778"/>
    <col min="13571" max="13571" width="13" style="778" customWidth="1"/>
    <col min="13572" max="13572" width="29.7109375" style="778" customWidth="1"/>
    <col min="13573" max="13573" width="7.7109375" style="778" customWidth="1"/>
    <col min="13574" max="13574" width="6" style="778" customWidth="1"/>
    <col min="13575" max="13575" width="11.5703125" style="778" customWidth="1"/>
    <col min="13576" max="13576" width="13.42578125" style="778" customWidth="1"/>
    <col min="13577" max="13577" width="13.85546875" style="778" customWidth="1"/>
    <col min="13578" max="13824" width="9.140625" style="778"/>
    <col min="13825" max="13825" width="13" style="778" customWidth="1"/>
    <col min="13826" max="13826" width="9.140625" style="778"/>
    <col min="13827" max="13827" width="13" style="778" customWidth="1"/>
    <col min="13828" max="13828" width="29.7109375" style="778" customWidth="1"/>
    <col min="13829" max="13829" width="7.7109375" style="778" customWidth="1"/>
    <col min="13830" max="13830" width="6" style="778" customWidth="1"/>
    <col min="13831" max="13831" width="11.5703125" style="778" customWidth="1"/>
    <col min="13832" max="13832" width="13.42578125" style="778" customWidth="1"/>
    <col min="13833" max="13833" width="13.85546875" style="778" customWidth="1"/>
    <col min="13834" max="14080" width="9.140625" style="778"/>
    <col min="14081" max="14081" width="13" style="778" customWidth="1"/>
    <col min="14082" max="14082" width="9.140625" style="778"/>
    <col min="14083" max="14083" width="13" style="778" customWidth="1"/>
    <col min="14084" max="14084" width="29.7109375" style="778" customWidth="1"/>
    <col min="14085" max="14085" width="7.7109375" style="778" customWidth="1"/>
    <col min="14086" max="14086" width="6" style="778" customWidth="1"/>
    <col min="14087" max="14087" width="11.5703125" style="778" customWidth="1"/>
    <col min="14088" max="14088" width="13.42578125" style="778" customWidth="1"/>
    <col min="14089" max="14089" width="13.85546875" style="778" customWidth="1"/>
    <col min="14090" max="14336" width="9.140625" style="778"/>
    <col min="14337" max="14337" width="13" style="778" customWidth="1"/>
    <col min="14338" max="14338" width="9.140625" style="778"/>
    <col min="14339" max="14339" width="13" style="778" customWidth="1"/>
    <col min="14340" max="14340" width="29.7109375" style="778" customWidth="1"/>
    <col min="14341" max="14341" width="7.7109375" style="778" customWidth="1"/>
    <col min="14342" max="14342" width="6" style="778" customWidth="1"/>
    <col min="14343" max="14343" width="11.5703125" style="778" customWidth="1"/>
    <col min="14344" max="14344" width="13.42578125" style="778" customWidth="1"/>
    <col min="14345" max="14345" width="13.85546875" style="778" customWidth="1"/>
    <col min="14346" max="14592" width="9.140625" style="778"/>
    <col min="14593" max="14593" width="13" style="778" customWidth="1"/>
    <col min="14594" max="14594" width="9.140625" style="778"/>
    <col min="14595" max="14595" width="13" style="778" customWidth="1"/>
    <col min="14596" max="14596" width="29.7109375" style="778" customWidth="1"/>
    <col min="14597" max="14597" width="7.7109375" style="778" customWidth="1"/>
    <col min="14598" max="14598" width="6" style="778" customWidth="1"/>
    <col min="14599" max="14599" width="11.5703125" style="778" customWidth="1"/>
    <col min="14600" max="14600" width="13.42578125" style="778" customWidth="1"/>
    <col min="14601" max="14601" width="13.85546875" style="778" customWidth="1"/>
    <col min="14602" max="14848" width="9.140625" style="778"/>
    <col min="14849" max="14849" width="13" style="778" customWidth="1"/>
    <col min="14850" max="14850" width="9.140625" style="778"/>
    <col min="14851" max="14851" width="13" style="778" customWidth="1"/>
    <col min="14852" max="14852" width="29.7109375" style="778" customWidth="1"/>
    <col min="14853" max="14853" width="7.7109375" style="778" customWidth="1"/>
    <col min="14854" max="14854" width="6" style="778" customWidth="1"/>
    <col min="14855" max="14855" width="11.5703125" style="778" customWidth="1"/>
    <col min="14856" max="14856" width="13.42578125" style="778" customWidth="1"/>
    <col min="14857" max="14857" width="13.85546875" style="778" customWidth="1"/>
    <col min="14858" max="15104" width="9.140625" style="778"/>
    <col min="15105" max="15105" width="13" style="778" customWidth="1"/>
    <col min="15106" max="15106" width="9.140625" style="778"/>
    <col min="15107" max="15107" width="13" style="778" customWidth="1"/>
    <col min="15108" max="15108" width="29.7109375" style="778" customWidth="1"/>
    <col min="15109" max="15109" width="7.7109375" style="778" customWidth="1"/>
    <col min="15110" max="15110" width="6" style="778" customWidth="1"/>
    <col min="15111" max="15111" width="11.5703125" style="778" customWidth="1"/>
    <col min="15112" max="15112" width="13.42578125" style="778" customWidth="1"/>
    <col min="15113" max="15113" width="13.85546875" style="778" customWidth="1"/>
    <col min="15114" max="15360" width="9.140625" style="778"/>
    <col min="15361" max="15361" width="13" style="778" customWidth="1"/>
    <col min="15362" max="15362" width="9.140625" style="778"/>
    <col min="15363" max="15363" width="13" style="778" customWidth="1"/>
    <col min="15364" max="15364" width="29.7109375" style="778" customWidth="1"/>
    <col min="15365" max="15365" width="7.7109375" style="778" customWidth="1"/>
    <col min="15366" max="15366" width="6" style="778" customWidth="1"/>
    <col min="15367" max="15367" width="11.5703125" style="778" customWidth="1"/>
    <col min="15368" max="15368" width="13.42578125" style="778" customWidth="1"/>
    <col min="15369" max="15369" width="13.85546875" style="778" customWidth="1"/>
    <col min="15370" max="15616" width="9.140625" style="778"/>
    <col min="15617" max="15617" width="13" style="778" customWidth="1"/>
    <col min="15618" max="15618" width="9.140625" style="778"/>
    <col min="15619" max="15619" width="13" style="778" customWidth="1"/>
    <col min="15620" max="15620" width="29.7109375" style="778" customWidth="1"/>
    <col min="15621" max="15621" width="7.7109375" style="778" customWidth="1"/>
    <col min="15622" max="15622" width="6" style="778" customWidth="1"/>
    <col min="15623" max="15623" width="11.5703125" style="778" customWidth="1"/>
    <col min="15624" max="15624" width="13.42578125" style="778" customWidth="1"/>
    <col min="15625" max="15625" width="13.85546875" style="778" customWidth="1"/>
    <col min="15626" max="15872" width="9.140625" style="778"/>
    <col min="15873" max="15873" width="13" style="778" customWidth="1"/>
    <col min="15874" max="15874" width="9.140625" style="778"/>
    <col min="15875" max="15875" width="13" style="778" customWidth="1"/>
    <col min="15876" max="15876" width="29.7109375" style="778" customWidth="1"/>
    <col min="15877" max="15877" width="7.7109375" style="778" customWidth="1"/>
    <col min="15878" max="15878" width="6" style="778" customWidth="1"/>
    <col min="15879" max="15879" width="11.5703125" style="778" customWidth="1"/>
    <col min="15880" max="15880" width="13.42578125" style="778" customWidth="1"/>
    <col min="15881" max="15881" width="13.85546875" style="778" customWidth="1"/>
    <col min="15882" max="16128" width="9.140625" style="778"/>
    <col min="16129" max="16129" width="13" style="778" customWidth="1"/>
    <col min="16130" max="16130" width="9.140625" style="778"/>
    <col min="16131" max="16131" width="13" style="778" customWidth="1"/>
    <col min="16132" max="16132" width="29.7109375" style="778" customWidth="1"/>
    <col min="16133" max="16133" width="7.7109375" style="778" customWidth="1"/>
    <col min="16134" max="16134" width="6" style="778" customWidth="1"/>
    <col min="16135" max="16135" width="11.5703125" style="778" customWidth="1"/>
    <col min="16136" max="16136" width="13.42578125" style="778" customWidth="1"/>
    <col min="16137" max="16137" width="13.85546875" style="778" customWidth="1"/>
    <col min="16138" max="16384" width="9.140625" style="778"/>
  </cols>
  <sheetData>
    <row r="1" spans="1:14">
      <c r="A1" s="777" t="str">
        <f>TH!A1</f>
        <v>Đơn vị: CÔNG TY TNHH HẢI SẢN AN LẠC</v>
      </c>
      <c r="H1" s="779" t="s">
        <v>433</v>
      </c>
      <c r="I1" s="779"/>
    </row>
    <row r="2" spans="1:14">
      <c r="A2" s="778" t="str">
        <f>TH!A2</f>
        <v>Địa chỉ: Lô A14, Đường 4A, KCN Hải Sơn, Đức Hòa, Long An</v>
      </c>
      <c r="H2" s="780" t="s">
        <v>434</v>
      </c>
      <c r="I2" s="780"/>
    </row>
    <row r="3" spans="1:14">
      <c r="H3" s="780" t="s">
        <v>435</v>
      </c>
      <c r="I3" s="780"/>
    </row>
    <row r="4" spans="1:14">
      <c r="H4" s="780"/>
      <c r="I4" s="780"/>
    </row>
    <row r="5" spans="1:14" ht="26.25" customHeight="1">
      <c r="B5" s="781"/>
      <c r="C5" s="781"/>
      <c r="D5" s="782" t="s">
        <v>436</v>
      </c>
      <c r="E5" s="781"/>
      <c r="F5" s="781"/>
      <c r="G5" s="781"/>
      <c r="H5" s="781"/>
      <c r="I5" s="781"/>
      <c r="J5" s="781"/>
      <c r="K5" s="781"/>
    </row>
    <row r="6" spans="1:14">
      <c r="B6" s="783"/>
      <c r="C6" s="783"/>
      <c r="D6" s="784" t="str">
        <f ca="1">$K$9&amp;"   -   Năm:  " &amp;YEAR(A11)</f>
        <v>Quý II   -   Năm:  2012</v>
      </c>
      <c r="E6" s="783"/>
      <c r="F6" s="783"/>
      <c r="G6" s="783"/>
      <c r="H6" s="783"/>
      <c r="I6" s="783"/>
      <c r="J6" s="783"/>
      <c r="K6" s="783"/>
    </row>
    <row r="7" spans="1:14">
      <c r="A7" s="785"/>
      <c r="B7" s="785"/>
      <c r="C7" s="785"/>
      <c r="D7" s="785"/>
      <c r="E7" s="785"/>
      <c r="F7" s="785"/>
      <c r="G7" s="785"/>
      <c r="H7" s="956" t="s">
        <v>130</v>
      </c>
      <c r="I7" s="956"/>
      <c r="J7" s="785"/>
      <c r="K7" s="785"/>
      <c r="M7" s="924" t="s">
        <v>399</v>
      </c>
      <c r="N7" s="924"/>
    </row>
    <row r="8" spans="1:14" ht="23.25" customHeight="1" thickBot="1">
      <c r="A8" s="957" t="s">
        <v>437</v>
      </c>
      <c r="B8" s="959" t="s">
        <v>1</v>
      </c>
      <c r="C8" s="960"/>
      <c r="D8" s="961" t="s">
        <v>0</v>
      </c>
      <c r="E8" s="957" t="s">
        <v>438</v>
      </c>
      <c r="F8" s="955" t="s">
        <v>98</v>
      </c>
      <c r="G8" s="955"/>
      <c r="H8" s="959" t="s">
        <v>21</v>
      </c>
      <c r="I8" s="960"/>
      <c r="J8" s="785"/>
      <c r="K8" s="785"/>
      <c r="M8" s="799">
        <f>IF(K9="Quý I",1,IF(K9="Quý II",4,IF(K9="Quý III",7,IF(K9="Quý IV",10,""))))</f>
        <v>4</v>
      </c>
      <c r="N8" s="799">
        <f>IF(K9="Quý I",3,IF(K9="Quý II",6,IF(K9="Quý III",9,IF(K9="Quý IV",12,""))))</f>
        <v>6</v>
      </c>
    </row>
    <row r="9" spans="1:14" ht="28.5" customHeight="1" thickBot="1">
      <c r="A9" s="958"/>
      <c r="B9" s="776" t="s">
        <v>15</v>
      </c>
      <c r="C9" s="776" t="s">
        <v>32</v>
      </c>
      <c r="D9" s="962"/>
      <c r="E9" s="958"/>
      <c r="F9" s="797" t="s">
        <v>22</v>
      </c>
      <c r="G9" s="797" t="s">
        <v>23</v>
      </c>
      <c r="H9" s="776" t="s">
        <v>439</v>
      </c>
      <c r="I9" s="776" t="s">
        <v>23</v>
      </c>
      <c r="K9" s="185" t="s">
        <v>454</v>
      </c>
    </row>
    <row r="10" spans="1:14" ht="21.75" customHeight="1">
      <c r="A10" s="786"/>
      <c r="B10" s="786"/>
      <c r="C10" s="786"/>
      <c r="D10" s="787" t="s">
        <v>444</v>
      </c>
      <c r="E10" s="798"/>
      <c r="F10" s="786"/>
      <c r="G10" s="786"/>
      <c r="H10" s="794">
        <f>SUMIF(_M,"&lt;"&amp;$M$8,TH)</f>
        <v>3798788160</v>
      </c>
      <c r="I10" s="794">
        <f>SUMIF(_M,"&lt;"&amp;$M$8,TH)</f>
        <v>3798788160</v>
      </c>
    </row>
    <row r="11" spans="1:14" ht="21.75" customHeight="1">
      <c r="A11" s="840">
        <f ca="1">IF(ROWS($1:1)&gt;COUNT(Dong6),"",OFFSET(TH!C$1,SMALL(Dong6,ROWS($1:1)),))</f>
        <v>41090</v>
      </c>
      <c r="B11" s="839" t="str">
        <f ca="1">IF(ROWS($1:1)&gt;COUNT(Dong6),"",OFFSET(TH!D$1,SMALL(Dong6,ROWS($1:1)),))</f>
        <v>BTKC</v>
      </c>
      <c r="C11" s="840">
        <f ca="1">IF(ROWS($1:1)&gt;COUNT(Dong6),"",OFFSET(TH!E$1,SMALL(Dong6,ROWS($1:1)),))</f>
        <v>41090</v>
      </c>
      <c r="D11" s="841" t="str">
        <f ca="1">IF(ROWS($1:1)&gt;COUNT(Dong6),"",OFFSET(TH!F$1,SMALL(Dong6,ROWS($1:1)),))</f>
        <v>K/C lãi ( lỗ ) SXKD - Quý II</v>
      </c>
      <c r="E11" s="839">
        <f t="shared" ref="E11:E51" ca="1" si="0">IF(D11&lt;&gt;"",ROW()-10,"")</f>
        <v>1</v>
      </c>
      <c r="F11" s="842" t="str">
        <f ca="1">IF(ROWS($1:1)&gt;COUNT(Dong6),"",OFFSET(TH!L$1,SMALL(Dong6,ROWS($1:1)),))</f>
        <v>4212</v>
      </c>
      <c r="G11" s="842" t="str">
        <f ca="1">IF(ROWS($1:1)&gt;COUNT(Dong6),"",OFFSET(TH!M$1,SMALL(Dong6,ROWS($1:1)),))</f>
        <v>911</v>
      </c>
      <c r="H11" s="843">
        <f ca="1">IF(ROWS($1:1)&gt;COUNT(Dong6),"",OFFSET(TH!K$1,SMALL(Dong6,ROWS($1:1)),))</f>
        <v>0</v>
      </c>
      <c r="I11" s="843">
        <f ca="1">IF(ROWS($1:1)&gt;COUNT(Dong6),"",OFFSET(TH!K$1,SMALL(Dong6,ROWS($1:1)),))</f>
        <v>0</v>
      </c>
    </row>
    <row r="12" spans="1:14" ht="21.75" customHeight="1">
      <c r="A12" s="840">
        <f ca="1">IF(ROWS($1:2)&gt;COUNT(Dong6),"",OFFSET(TH!C$1,SMALL(Dong6,ROWS($1:2)),))</f>
        <v>41090</v>
      </c>
      <c r="B12" s="839" t="str">
        <f ca="1">IF(ROWS($1:2)&gt;COUNT(Dong6),"",OFFSET(TH!D$1,SMALL(Dong6,ROWS($1:2)),))</f>
        <v>CTGS</v>
      </c>
      <c r="C12" s="840">
        <f ca="1">IF(ROWS($1:2)&gt;COUNT(Dong6),"",OFFSET(TH!E$1,SMALL(Dong6,ROWS($1:2)),))</f>
        <v>41090</v>
      </c>
      <c r="D12" s="841" t="str">
        <f ca="1">IF(ROWS($1:2)&gt;COUNT(Dong6),"",OFFSET(TH!F$1,SMALL(Dong6,ROWS($1:2)),))</f>
        <v>Trích khấu hao TSCĐ Hữu hình</v>
      </c>
      <c r="E12" s="839">
        <f t="shared" ca="1" si="0"/>
        <v>2</v>
      </c>
      <c r="F12" s="842" t="str">
        <f ca="1">IF(ROWS($1:2)&gt;COUNT(Dong6),"",OFFSET(TH!L$1,SMALL(Dong6,ROWS($1:2)),))</f>
        <v>154</v>
      </c>
      <c r="G12" s="842" t="str">
        <f ca="1">IF(ROWS($1:2)&gt;COUNT(Dong6),"",OFFSET(TH!M$1,SMALL(Dong6,ROWS($1:2)),))</f>
        <v>2141</v>
      </c>
      <c r="H12" s="843">
        <f ca="1">IF(ROWS($1:2)&gt;COUNT(Dong6),"",OFFSET(TH!K$1,SMALL(Dong6,ROWS($1:2)),))</f>
        <v>18250000</v>
      </c>
      <c r="I12" s="843">
        <f ca="1">IF(ROWS($1:2)&gt;COUNT(Dong6),"",OFFSET(TH!K$1,SMALL(Dong6,ROWS($1:2)),))</f>
        <v>18250000</v>
      </c>
    </row>
    <row r="13" spans="1:14" ht="21.75" customHeight="1">
      <c r="A13" s="840">
        <f ca="1">IF(ROWS($1:3)&gt;COUNT(Dong6),"",OFFSET(TH!C$1,SMALL(Dong6,ROWS($1:3)),))</f>
        <v>41090</v>
      </c>
      <c r="B13" s="839" t="str">
        <f ca="1">IF(ROWS($1:3)&gt;COUNT(Dong6),"",OFFSET(TH!D$1,SMALL(Dong6,ROWS($1:3)),))</f>
        <v>CTGS</v>
      </c>
      <c r="C13" s="840">
        <f ca="1">IF(ROWS($1:3)&gt;COUNT(Dong6),"",OFFSET(TH!E$1,SMALL(Dong6,ROWS($1:3)),))</f>
        <v>41090</v>
      </c>
      <c r="D13" s="841" t="str">
        <f ca="1">IF(ROWS($1:3)&gt;COUNT(Dong6),"",OFFSET(TH!F$1,SMALL(Dong6,ROWS($1:3)),))</f>
        <v>Phân bổ chi phí trả trước ngắn hạn</v>
      </c>
      <c r="E13" s="839">
        <f t="shared" ca="1" si="0"/>
        <v>3</v>
      </c>
      <c r="F13" s="842" t="str">
        <f ca="1">IF(ROWS($1:3)&gt;COUNT(Dong6),"",OFFSET(TH!L$1,SMALL(Dong6,ROWS($1:3)),))</f>
        <v>154</v>
      </c>
      <c r="G13" s="842" t="str">
        <f ca="1">IF(ROWS($1:3)&gt;COUNT(Dong6),"",OFFSET(TH!M$1,SMALL(Dong6,ROWS($1:3)),))</f>
        <v>142</v>
      </c>
      <c r="H13" s="843">
        <f ca="1">IF(ROWS($1:3)&gt;COUNT(Dong6),"",OFFSET(TH!K$1,SMALL(Dong6,ROWS($1:3)),))</f>
        <v>2472273</v>
      </c>
      <c r="I13" s="843">
        <f ca="1">IF(ROWS($1:3)&gt;COUNT(Dong6),"",OFFSET(TH!K$1,SMALL(Dong6,ROWS($1:3)),))</f>
        <v>2472273</v>
      </c>
    </row>
    <row r="14" spans="1:14" ht="21.75" customHeight="1">
      <c r="A14" s="840">
        <f ca="1">IF(ROWS($1:4)&gt;COUNT(Dong6),"",OFFSET(TH!C$1,SMALL(Dong6,ROWS($1:4)),))</f>
        <v>41029</v>
      </c>
      <c r="B14" s="839" t="str">
        <f ca="1">IF(ROWS($1:4)&gt;COUNT(Dong6),"",OFFSET(TH!D$1,SMALL(Dong6,ROWS($1:4)),))</f>
        <v>CTGS</v>
      </c>
      <c r="C14" s="840">
        <f ca="1">IF(ROWS($1:4)&gt;COUNT(Dong6),"",OFFSET(TH!E$1,SMALL(Dong6,ROWS($1:4)),))</f>
        <v>41029</v>
      </c>
      <c r="D14" s="841" t="str">
        <f ca="1">IF(ROWS($1:4)&gt;COUNT(Dong6),"",OFFSET(TH!F$1,SMALL(Dong6,ROWS($1:4)),))</f>
        <v>Tiền lương BP Phân Xưởng &amp; CN</v>
      </c>
      <c r="E14" s="839">
        <f t="shared" ca="1" si="0"/>
        <v>4</v>
      </c>
      <c r="F14" s="842" t="str">
        <f ca="1">IF(ROWS($1:4)&gt;COUNT(Dong6),"",OFFSET(TH!L$1,SMALL(Dong6,ROWS($1:4)),))</f>
        <v>154</v>
      </c>
      <c r="G14" s="842" t="str">
        <f ca="1">IF(ROWS($1:4)&gt;COUNT(Dong6),"",OFFSET(TH!M$1,SMALL(Dong6,ROWS($1:4)),))</f>
        <v>3341</v>
      </c>
      <c r="H14" s="843">
        <f ca="1">IF(ROWS($1:4)&gt;COUNT(Dong6),"",OFFSET(TH!K$1,SMALL(Dong6,ROWS($1:4)),))</f>
        <v>0</v>
      </c>
      <c r="I14" s="843">
        <f ca="1">IF(ROWS($1:4)&gt;COUNT(Dong6),"",OFFSET(TH!K$1,SMALL(Dong6,ROWS($1:4)),))</f>
        <v>0</v>
      </c>
    </row>
    <row r="15" spans="1:14" ht="21.75" customHeight="1">
      <c r="A15" s="840">
        <f ca="1">IF(ROWS($1:5)&gt;COUNT(Dong6),"",OFFSET(TH!C$1,SMALL(Dong6,ROWS($1:5)),))</f>
        <v>41029</v>
      </c>
      <c r="B15" s="839" t="str">
        <f ca="1">IF(ROWS($1:5)&gt;COUNT(Dong6),"",OFFSET(TH!D$1,SMALL(Dong6,ROWS($1:5)),))</f>
        <v>CTGS</v>
      </c>
      <c r="C15" s="840">
        <f ca="1">IF(ROWS($1:5)&gt;COUNT(Dong6),"",OFFSET(TH!E$1,SMALL(Dong6,ROWS($1:5)),))</f>
        <v>41029</v>
      </c>
      <c r="D15" s="841" t="str">
        <f ca="1">IF(ROWS($1:5)&gt;COUNT(Dong6),"",OFFSET(TH!F$1,SMALL(Dong6,ROWS($1:5)),))</f>
        <v>Thanh toán tiền lương tháng 4/2012</v>
      </c>
      <c r="E15" s="839">
        <f t="shared" ca="1" si="0"/>
        <v>5</v>
      </c>
      <c r="F15" s="842" t="str">
        <f ca="1">IF(ROWS($1:5)&gt;COUNT(Dong6),"",OFFSET(TH!L$1,SMALL(Dong6,ROWS($1:5)),))</f>
        <v>3341</v>
      </c>
      <c r="G15" s="842" t="str">
        <f ca="1">IF(ROWS($1:5)&gt;COUNT(Dong6),"",OFFSET(TH!M$1,SMALL(Dong6,ROWS($1:5)),))</f>
        <v>1111</v>
      </c>
      <c r="H15" s="843">
        <f ca="1">IF(ROWS($1:5)&gt;COUNT(Dong6),"",OFFSET(TH!K$1,SMALL(Dong6,ROWS($1:5)),))</f>
        <v>0</v>
      </c>
      <c r="I15" s="843">
        <f ca="1">IF(ROWS($1:5)&gt;COUNT(Dong6),"",OFFSET(TH!K$1,SMALL(Dong6,ROWS($1:5)),))</f>
        <v>0</v>
      </c>
    </row>
    <row r="16" spans="1:14" ht="21.75" customHeight="1">
      <c r="A16" s="840">
        <f ca="1">IF(ROWS($1:6)&gt;COUNT(Dong6),"",OFFSET(TH!C$1,SMALL(Dong6,ROWS($1:6)),))</f>
        <v>41060</v>
      </c>
      <c r="B16" s="839" t="str">
        <f ca="1">IF(ROWS($1:6)&gt;COUNT(Dong6),"",OFFSET(TH!D$1,SMALL(Dong6,ROWS($1:6)),))</f>
        <v>CTGS</v>
      </c>
      <c r="C16" s="840">
        <f ca="1">IF(ROWS($1:6)&gt;COUNT(Dong6),"",OFFSET(TH!E$1,SMALL(Dong6,ROWS($1:6)),))</f>
        <v>41060</v>
      </c>
      <c r="D16" s="841" t="str">
        <f ca="1">IF(ROWS($1:6)&gt;COUNT(Dong6),"",OFFSET(TH!F$1,SMALL(Dong6,ROWS($1:6)),))</f>
        <v>Tiền lương BP Phân Xưởng &amp; CN</v>
      </c>
      <c r="E16" s="839">
        <f t="shared" ca="1" si="0"/>
        <v>6</v>
      </c>
      <c r="F16" s="842" t="str">
        <f ca="1">IF(ROWS($1:6)&gt;COUNT(Dong6),"",OFFSET(TH!L$1,SMALL(Dong6,ROWS($1:6)),))</f>
        <v>154</v>
      </c>
      <c r="G16" s="842" t="str">
        <f ca="1">IF(ROWS($1:6)&gt;COUNT(Dong6),"",OFFSET(TH!M$1,SMALL(Dong6,ROWS($1:6)),))</f>
        <v>3341</v>
      </c>
      <c r="H16" s="843">
        <f ca="1">IF(ROWS($1:6)&gt;COUNT(Dong6),"",OFFSET(TH!K$1,SMALL(Dong6,ROWS($1:6)),))</f>
        <v>0</v>
      </c>
      <c r="I16" s="843">
        <f ca="1">IF(ROWS($1:6)&gt;COUNT(Dong6),"",OFFSET(TH!K$1,SMALL(Dong6,ROWS($1:6)),))</f>
        <v>0</v>
      </c>
    </row>
    <row r="17" spans="1:9" ht="21.75" customHeight="1">
      <c r="A17" s="840">
        <f ca="1">IF(ROWS($1:7)&gt;COUNT(Dong6),"",OFFSET(TH!C$1,SMALL(Dong6,ROWS($1:7)),))</f>
        <v>41060</v>
      </c>
      <c r="B17" s="839" t="str">
        <f ca="1">IF(ROWS($1:7)&gt;COUNT(Dong6),"",OFFSET(TH!D$1,SMALL(Dong6,ROWS($1:7)),))</f>
        <v>CTGS</v>
      </c>
      <c r="C17" s="840">
        <f ca="1">IF(ROWS($1:7)&gt;COUNT(Dong6),"",OFFSET(TH!E$1,SMALL(Dong6,ROWS($1:7)),))</f>
        <v>41060</v>
      </c>
      <c r="D17" s="841" t="str">
        <f ca="1">IF(ROWS($1:7)&gt;COUNT(Dong6),"",OFFSET(TH!F$1,SMALL(Dong6,ROWS($1:7)),))</f>
        <v>Thanh toán tiền lương tháng 5/2012</v>
      </c>
      <c r="E17" s="839">
        <f t="shared" ca="1" si="0"/>
        <v>7</v>
      </c>
      <c r="F17" s="842" t="str">
        <f ca="1">IF(ROWS($1:7)&gt;COUNT(Dong6),"",OFFSET(TH!L$1,SMALL(Dong6,ROWS($1:7)),))</f>
        <v>3341</v>
      </c>
      <c r="G17" s="842" t="str">
        <f ca="1">IF(ROWS($1:7)&gt;COUNT(Dong6),"",OFFSET(TH!M$1,SMALL(Dong6,ROWS($1:7)),))</f>
        <v>1111</v>
      </c>
      <c r="H17" s="843">
        <f ca="1">IF(ROWS($1:7)&gt;COUNT(Dong6),"",OFFSET(TH!K$1,SMALL(Dong6,ROWS($1:7)),))</f>
        <v>0</v>
      </c>
      <c r="I17" s="843">
        <f ca="1">IF(ROWS($1:7)&gt;COUNT(Dong6),"",OFFSET(TH!K$1,SMALL(Dong6,ROWS($1:7)),))</f>
        <v>0</v>
      </c>
    </row>
    <row r="18" spans="1:9" ht="21.75" customHeight="1">
      <c r="A18" s="840">
        <f ca="1">IF(ROWS($1:8)&gt;COUNT(Dong6),"",OFFSET(TH!C$1,SMALL(Dong6,ROWS($1:8)),))</f>
        <v>41090</v>
      </c>
      <c r="B18" s="839" t="str">
        <f ca="1">IF(ROWS($1:8)&gt;COUNT(Dong6),"",OFFSET(TH!D$1,SMALL(Dong6,ROWS($1:8)),))</f>
        <v>CTGS</v>
      </c>
      <c r="C18" s="840">
        <f ca="1">IF(ROWS($1:8)&gt;COUNT(Dong6),"",OFFSET(TH!E$1,SMALL(Dong6,ROWS($1:8)),))</f>
        <v>41090</v>
      </c>
      <c r="D18" s="841" t="str">
        <f ca="1">IF(ROWS($1:8)&gt;COUNT(Dong6),"",OFFSET(TH!F$1,SMALL(Dong6,ROWS($1:8)),))</f>
        <v>Tiền lương BP Phân Xưởng &amp; CN</v>
      </c>
      <c r="E18" s="839">
        <f t="shared" ca="1" si="0"/>
        <v>8</v>
      </c>
      <c r="F18" s="842" t="str">
        <f ca="1">IF(ROWS($1:8)&gt;COUNT(Dong6),"",OFFSET(TH!L$1,SMALL(Dong6,ROWS($1:8)),))</f>
        <v>154</v>
      </c>
      <c r="G18" s="842" t="str">
        <f ca="1">IF(ROWS($1:8)&gt;COUNT(Dong6),"",OFFSET(TH!M$1,SMALL(Dong6,ROWS($1:8)),))</f>
        <v>3341</v>
      </c>
      <c r="H18" s="843">
        <f ca="1">IF(ROWS($1:8)&gt;COUNT(Dong6),"",OFFSET(TH!K$1,SMALL(Dong6,ROWS($1:8)),))</f>
        <v>0</v>
      </c>
      <c r="I18" s="843">
        <f ca="1">IF(ROWS($1:8)&gt;COUNT(Dong6),"",OFFSET(TH!K$1,SMALL(Dong6,ROWS($1:8)),))</f>
        <v>0</v>
      </c>
    </row>
    <row r="19" spans="1:9" ht="21.75" customHeight="1">
      <c r="A19" s="840">
        <f ca="1">IF(ROWS($1:9)&gt;COUNT(Dong6),"",OFFSET(TH!C$1,SMALL(Dong6,ROWS($1:9)),))</f>
        <v>41090</v>
      </c>
      <c r="B19" s="839" t="str">
        <f ca="1">IF(ROWS($1:9)&gt;COUNT(Dong6),"",OFFSET(TH!D$1,SMALL(Dong6,ROWS($1:9)),))</f>
        <v>CTGS</v>
      </c>
      <c r="C19" s="840">
        <f ca="1">IF(ROWS($1:9)&gt;COUNT(Dong6),"",OFFSET(TH!E$1,SMALL(Dong6,ROWS($1:9)),))</f>
        <v>41090</v>
      </c>
      <c r="D19" s="841" t="str">
        <f ca="1">IF(ROWS($1:9)&gt;COUNT(Dong6),"",OFFSET(TH!F$1,SMALL(Dong6,ROWS($1:9)),))</f>
        <v>Thanh toán tiền lương tháng 6/2012</v>
      </c>
      <c r="E19" s="839">
        <f t="shared" ca="1" si="0"/>
        <v>9</v>
      </c>
      <c r="F19" s="842" t="str">
        <f ca="1">IF(ROWS($1:9)&gt;COUNT(Dong6),"",OFFSET(TH!L$1,SMALL(Dong6,ROWS($1:9)),))</f>
        <v>3341</v>
      </c>
      <c r="G19" s="842" t="str">
        <f ca="1">IF(ROWS($1:9)&gt;COUNT(Dong6),"",OFFSET(TH!M$1,SMALL(Dong6,ROWS($1:9)),))</f>
        <v>1111</v>
      </c>
      <c r="H19" s="843">
        <f ca="1">IF(ROWS($1:9)&gt;COUNT(Dong6),"",OFFSET(TH!K$1,SMALL(Dong6,ROWS($1:9)),))</f>
        <v>0</v>
      </c>
      <c r="I19" s="843">
        <f ca="1">IF(ROWS($1:9)&gt;COUNT(Dong6),"",OFFSET(TH!K$1,SMALL(Dong6,ROWS($1:9)),))</f>
        <v>0</v>
      </c>
    </row>
    <row r="20" spans="1:9" ht="21.75" customHeight="1">
      <c r="A20" s="840">
        <f ca="1">IF(ROWS($1:10)&gt;COUNT(Dong6),"",OFFSET(TH!C$1,SMALL(Dong6,ROWS($1:10)),))</f>
        <v>41002</v>
      </c>
      <c r="B20" s="839" t="str">
        <f ca="1">IF(ROWS($1:10)&gt;COUNT(Dong6),"",OFFSET(TH!D$1,SMALL(Dong6,ROWS($1:10)),))</f>
        <v>GBC</v>
      </c>
      <c r="C20" s="840">
        <f ca="1">IF(ROWS($1:10)&gt;COUNT(Dong6),"",OFFSET(TH!E$1,SMALL(Dong6,ROWS($1:10)),))</f>
        <v>41002</v>
      </c>
      <c r="D20" s="841" t="str">
        <f ca="1">IF(ROWS($1:10)&gt;COUNT(Dong6),"",OFFSET(TH!F$1,SMALL(Dong6,ROWS($1:10)),))</f>
        <v>Thu tiền hàng</v>
      </c>
      <c r="E20" s="839">
        <f t="shared" ca="1" si="0"/>
        <v>10</v>
      </c>
      <c r="F20" s="842" t="str">
        <f ca="1">IF(ROWS($1:10)&gt;COUNT(Dong6),"",OFFSET(TH!L$1,SMALL(Dong6,ROWS($1:10)),))</f>
        <v>1121</v>
      </c>
      <c r="G20" s="842" t="str">
        <f ca="1">IF(ROWS($1:10)&gt;COUNT(Dong6),"",OFFSET(TH!M$1,SMALL(Dong6,ROWS($1:10)),))</f>
        <v>131</v>
      </c>
      <c r="H20" s="843">
        <f ca="1">IF(ROWS($1:10)&gt;COUNT(Dong6),"",OFFSET(TH!K$1,SMALL(Dong6,ROWS($1:10)),))</f>
        <v>37537610</v>
      </c>
      <c r="I20" s="843">
        <f ca="1">IF(ROWS($1:10)&gt;COUNT(Dong6),"",OFFSET(TH!K$1,SMALL(Dong6,ROWS($1:10)),))</f>
        <v>37537610</v>
      </c>
    </row>
    <row r="21" spans="1:9" ht="21.75" customHeight="1">
      <c r="A21" s="840">
        <f ca="1">IF(ROWS($1:11)&gt;COUNT(Dong6),"",OFFSET(TH!C$1,SMALL(Dong6,ROWS($1:11)),))</f>
        <v>41002</v>
      </c>
      <c r="B21" s="839" t="str">
        <f ca="1">IF(ROWS($1:11)&gt;COUNT(Dong6),"",OFFSET(TH!D$1,SMALL(Dong6,ROWS($1:11)),))</f>
        <v>GBN</v>
      </c>
      <c r="C21" s="840">
        <f ca="1">IF(ROWS($1:11)&gt;COUNT(Dong6),"",OFFSET(TH!E$1,SMALL(Dong6,ROWS($1:11)),))</f>
        <v>41002</v>
      </c>
      <c r="D21" s="841" t="str">
        <f ca="1">IF(ROWS($1:11)&gt;COUNT(Dong6),"",OFFSET(TH!F$1,SMALL(Dong6,ROWS($1:11)),))</f>
        <v>Chi Sec nhập quỹ tiền mặt</v>
      </c>
      <c r="E21" s="839">
        <f t="shared" ca="1" si="0"/>
        <v>11</v>
      </c>
      <c r="F21" s="842" t="str">
        <f ca="1">IF(ROWS($1:11)&gt;COUNT(Dong6),"",OFFSET(TH!L$1,SMALL(Dong6,ROWS($1:11)),))</f>
        <v>1111</v>
      </c>
      <c r="G21" s="842" t="str">
        <f ca="1">IF(ROWS($1:11)&gt;COUNT(Dong6),"",OFFSET(TH!M$1,SMALL(Dong6,ROWS($1:11)),))</f>
        <v>1121</v>
      </c>
      <c r="H21" s="843">
        <f ca="1">IF(ROWS($1:11)&gt;COUNT(Dong6),"",OFFSET(TH!K$1,SMALL(Dong6,ROWS($1:11)),))</f>
        <v>21500000</v>
      </c>
      <c r="I21" s="843">
        <f ca="1">IF(ROWS($1:11)&gt;COUNT(Dong6),"",OFFSET(TH!K$1,SMALL(Dong6,ROWS($1:11)),))</f>
        <v>21500000</v>
      </c>
    </row>
    <row r="22" spans="1:9" ht="21.75" customHeight="1">
      <c r="A22" s="840">
        <f ca="1">IF(ROWS($1:12)&gt;COUNT(Dong6),"",OFFSET(TH!C$1,SMALL(Dong6,ROWS($1:12)),))</f>
        <v>41004</v>
      </c>
      <c r="B22" s="839" t="str">
        <f ca="1">IF(ROWS($1:12)&gt;COUNT(Dong6),"",OFFSET(TH!D$1,SMALL(Dong6,ROWS($1:12)),))</f>
        <v>GBC</v>
      </c>
      <c r="C22" s="840">
        <f ca="1">IF(ROWS($1:12)&gt;COUNT(Dong6),"",OFFSET(TH!E$1,SMALL(Dong6,ROWS($1:12)),))</f>
        <v>41004</v>
      </c>
      <c r="D22" s="841" t="str">
        <f ca="1">IF(ROWS($1:12)&gt;COUNT(Dong6),"",OFFSET(TH!F$1,SMALL(Dong6,ROWS($1:12)),))</f>
        <v>Thu tiền hàng</v>
      </c>
      <c r="E22" s="839">
        <f t="shared" ca="1" si="0"/>
        <v>12</v>
      </c>
      <c r="F22" s="842" t="str">
        <f ca="1">IF(ROWS($1:12)&gt;COUNT(Dong6),"",OFFSET(TH!L$1,SMALL(Dong6,ROWS($1:12)),))</f>
        <v>1121</v>
      </c>
      <c r="G22" s="842" t="str">
        <f ca="1">IF(ROWS($1:12)&gt;COUNT(Dong6),"",OFFSET(TH!M$1,SMALL(Dong6,ROWS($1:12)),))</f>
        <v>131</v>
      </c>
      <c r="H22" s="843">
        <f ca="1">IF(ROWS($1:12)&gt;COUNT(Dong6),"",OFFSET(TH!K$1,SMALL(Dong6,ROWS($1:12)),))</f>
        <v>57158000</v>
      </c>
      <c r="I22" s="843">
        <f ca="1">IF(ROWS($1:12)&gt;COUNT(Dong6),"",OFFSET(TH!K$1,SMALL(Dong6,ROWS($1:12)),))</f>
        <v>57158000</v>
      </c>
    </row>
    <row r="23" spans="1:9" ht="21.75" customHeight="1">
      <c r="A23" s="840">
        <f ca="1">IF(ROWS($1:13)&gt;COUNT(Dong6),"",OFFSET(TH!C$1,SMALL(Dong6,ROWS($1:13)),))</f>
        <v>41004</v>
      </c>
      <c r="B23" s="839" t="str">
        <f ca="1">IF(ROWS($1:13)&gt;COUNT(Dong6),"",OFFSET(TH!D$1,SMALL(Dong6,ROWS($1:13)),))</f>
        <v>GBN</v>
      </c>
      <c r="C23" s="840">
        <f ca="1">IF(ROWS($1:13)&gt;COUNT(Dong6),"",OFFSET(TH!E$1,SMALL(Dong6,ROWS($1:13)),))</f>
        <v>41004</v>
      </c>
      <c r="D23" s="841" t="str">
        <f ca="1">IF(ROWS($1:13)&gt;COUNT(Dong6),"",OFFSET(TH!F$1,SMALL(Dong6,ROWS($1:13)),))</f>
        <v>Chi Sec nhập quỹ tiền mặt</v>
      </c>
      <c r="E23" s="839">
        <f t="shared" ca="1" si="0"/>
        <v>13</v>
      </c>
      <c r="F23" s="842" t="str">
        <f ca="1">IF(ROWS($1:13)&gt;COUNT(Dong6),"",OFFSET(TH!L$1,SMALL(Dong6,ROWS($1:13)),))</f>
        <v>1111</v>
      </c>
      <c r="G23" s="842" t="str">
        <f ca="1">IF(ROWS($1:13)&gt;COUNT(Dong6),"",OFFSET(TH!M$1,SMALL(Dong6,ROWS($1:13)),))</f>
        <v>1121</v>
      </c>
      <c r="H23" s="843">
        <f ca="1">IF(ROWS($1:13)&gt;COUNT(Dong6),"",OFFSET(TH!K$1,SMALL(Dong6,ROWS($1:13)),))</f>
        <v>37500000</v>
      </c>
      <c r="I23" s="843">
        <f ca="1">IF(ROWS($1:13)&gt;COUNT(Dong6),"",OFFSET(TH!K$1,SMALL(Dong6,ROWS($1:13)),))</f>
        <v>37500000</v>
      </c>
    </row>
    <row r="24" spans="1:9" ht="21.75" customHeight="1">
      <c r="A24" s="840">
        <f ca="1">IF(ROWS($1:14)&gt;COUNT(Dong6),"",OFFSET(TH!C$1,SMALL(Dong6,ROWS($1:14)),))</f>
        <v>41008</v>
      </c>
      <c r="B24" s="839" t="str">
        <f ca="1">IF(ROWS($1:14)&gt;COUNT(Dong6),"",OFFSET(TH!D$1,SMALL(Dong6,ROWS($1:14)),))</f>
        <v>GBC</v>
      </c>
      <c r="C24" s="840">
        <f ca="1">IF(ROWS($1:14)&gt;COUNT(Dong6),"",OFFSET(TH!E$1,SMALL(Dong6,ROWS($1:14)),))</f>
        <v>41008</v>
      </c>
      <c r="D24" s="841" t="str">
        <f ca="1">IF(ROWS($1:14)&gt;COUNT(Dong6),"",OFFSET(TH!F$1,SMALL(Dong6,ROWS($1:14)),))</f>
        <v>Thu tiền hàng</v>
      </c>
      <c r="E24" s="839">
        <f t="shared" ca="1" si="0"/>
        <v>14</v>
      </c>
      <c r="F24" s="842" t="str">
        <f ca="1">IF(ROWS($1:14)&gt;COUNT(Dong6),"",OFFSET(TH!L$1,SMALL(Dong6,ROWS($1:14)),))</f>
        <v>1121</v>
      </c>
      <c r="G24" s="842" t="str">
        <f ca="1">IF(ROWS($1:14)&gt;COUNT(Dong6),"",OFFSET(TH!M$1,SMALL(Dong6,ROWS($1:14)),))</f>
        <v>131</v>
      </c>
      <c r="H24" s="843">
        <f ca="1">IF(ROWS($1:14)&gt;COUNT(Dong6),"",OFFSET(TH!K$1,SMALL(Dong6,ROWS($1:14)),))</f>
        <v>9004336</v>
      </c>
      <c r="I24" s="843">
        <f ca="1">IF(ROWS($1:14)&gt;COUNT(Dong6),"",OFFSET(TH!K$1,SMALL(Dong6,ROWS($1:14)),))</f>
        <v>9004336</v>
      </c>
    </row>
    <row r="25" spans="1:9" ht="21.75" customHeight="1">
      <c r="A25" s="840">
        <f ca="1">IF(ROWS($1:15)&gt;COUNT(Dong6),"",OFFSET(TH!C$1,SMALL(Dong6,ROWS($1:15)),))</f>
        <v>41009</v>
      </c>
      <c r="B25" s="839" t="str">
        <f ca="1">IF(ROWS($1:15)&gt;COUNT(Dong6),"",OFFSET(TH!D$1,SMALL(Dong6,ROWS($1:15)),))</f>
        <v>GBN</v>
      </c>
      <c r="C25" s="840">
        <f ca="1">IF(ROWS($1:15)&gt;COUNT(Dong6),"",OFFSET(TH!E$1,SMALL(Dong6,ROWS($1:15)),))</f>
        <v>41009</v>
      </c>
      <c r="D25" s="841" t="str">
        <f ca="1">IF(ROWS($1:15)&gt;COUNT(Dong6),"",OFFSET(TH!F$1,SMALL(Dong6,ROWS($1:15)),))</f>
        <v>Chi Sec nhập quỹ tiền mặt</v>
      </c>
      <c r="E25" s="839">
        <f t="shared" ca="1" si="0"/>
        <v>15</v>
      </c>
      <c r="F25" s="842" t="str">
        <f ca="1">IF(ROWS($1:15)&gt;COUNT(Dong6),"",OFFSET(TH!L$1,SMALL(Dong6,ROWS($1:15)),))</f>
        <v>1111</v>
      </c>
      <c r="G25" s="842" t="str">
        <f ca="1">IF(ROWS($1:15)&gt;COUNT(Dong6),"",OFFSET(TH!M$1,SMALL(Dong6,ROWS($1:15)),))</f>
        <v>1121</v>
      </c>
      <c r="H25" s="843">
        <f ca="1">IF(ROWS($1:15)&gt;COUNT(Dong6),"",OFFSET(TH!K$1,SMALL(Dong6,ROWS($1:15)),))</f>
        <v>30000000</v>
      </c>
      <c r="I25" s="843">
        <f ca="1">IF(ROWS($1:15)&gt;COUNT(Dong6),"",OFFSET(TH!K$1,SMALL(Dong6,ROWS($1:15)),))</f>
        <v>30000000</v>
      </c>
    </row>
    <row r="26" spans="1:9" ht="21.75" customHeight="1">
      <c r="A26" s="840">
        <f ca="1">IF(ROWS($1:16)&gt;COUNT(Dong6),"",OFFSET(TH!C$1,SMALL(Dong6,ROWS($1:16)),))</f>
        <v>41009</v>
      </c>
      <c r="B26" s="839" t="str">
        <f ca="1">IF(ROWS($1:16)&gt;COUNT(Dong6),"",OFFSET(TH!D$1,SMALL(Dong6,ROWS($1:16)),))</f>
        <v>GBN</v>
      </c>
      <c r="C26" s="840">
        <f ca="1">IF(ROWS($1:16)&gt;COUNT(Dong6),"",OFFSET(TH!E$1,SMALL(Dong6,ROWS($1:16)),))</f>
        <v>41009</v>
      </c>
      <c r="D26" s="841" t="str">
        <f ca="1">IF(ROWS($1:16)&gt;COUNT(Dong6),"",OFFSET(TH!F$1,SMALL(Dong6,ROWS($1:16)),))</f>
        <v>Thanh toán tiền hàng</v>
      </c>
      <c r="E26" s="839">
        <f t="shared" ca="1" si="0"/>
        <v>16</v>
      </c>
      <c r="F26" s="842" t="str">
        <f ca="1">IF(ROWS($1:16)&gt;COUNT(Dong6),"",OFFSET(TH!L$1,SMALL(Dong6,ROWS($1:16)),))</f>
        <v>331</v>
      </c>
      <c r="G26" s="842" t="str">
        <f ca="1">IF(ROWS($1:16)&gt;COUNT(Dong6),"",OFFSET(TH!M$1,SMALL(Dong6,ROWS($1:16)),))</f>
        <v>1121</v>
      </c>
      <c r="H26" s="843">
        <f ca="1">IF(ROWS($1:16)&gt;COUNT(Dong6),"",OFFSET(TH!K$1,SMALL(Dong6,ROWS($1:16)),))</f>
        <v>35000000</v>
      </c>
      <c r="I26" s="843">
        <f ca="1">IF(ROWS($1:16)&gt;COUNT(Dong6),"",OFFSET(TH!K$1,SMALL(Dong6,ROWS($1:16)),))</f>
        <v>35000000</v>
      </c>
    </row>
    <row r="27" spans="1:9" ht="21.75" customHeight="1">
      <c r="A27" s="840">
        <f ca="1">IF(ROWS($1:17)&gt;COUNT(Dong6),"",OFFSET(TH!C$1,SMALL(Dong6,ROWS($1:17)),))</f>
        <v>41009</v>
      </c>
      <c r="B27" s="839" t="str">
        <f ca="1">IF(ROWS($1:17)&gt;COUNT(Dong6),"",OFFSET(TH!D$1,SMALL(Dong6,ROWS($1:17)),))</f>
        <v>GBN</v>
      </c>
      <c r="C27" s="840">
        <f ca="1">IF(ROWS($1:17)&gt;COUNT(Dong6),"",OFFSET(TH!E$1,SMALL(Dong6,ROWS($1:17)),))</f>
        <v>41009</v>
      </c>
      <c r="D27" s="841" t="str">
        <f ca="1">IF(ROWS($1:17)&gt;COUNT(Dong6),"",OFFSET(TH!F$1,SMALL(Dong6,ROWS($1:17)),))</f>
        <v>Phí chuyển tiền</v>
      </c>
      <c r="E27" s="839">
        <f t="shared" ca="1" si="0"/>
        <v>17</v>
      </c>
      <c r="F27" s="842" t="str">
        <f ca="1">IF(ROWS($1:17)&gt;COUNT(Dong6),"",OFFSET(TH!L$1,SMALL(Dong6,ROWS($1:17)),))</f>
        <v>642</v>
      </c>
      <c r="G27" s="842" t="str">
        <f ca="1">IF(ROWS($1:17)&gt;COUNT(Dong6),"",OFFSET(TH!M$1,SMALL(Dong6,ROWS($1:17)),))</f>
        <v>1121</v>
      </c>
      <c r="H27" s="843">
        <f ca="1">IF(ROWS($1:17)&gt;COUNT(Dong6),"",OFFSET(TH!K$1,SMALL(Dong6,ROWS($1:17)),))</f>
        <v>10000</v>
      </c>
      <c r="I27" s="843">
        <f ca="1">IF(ROWS($1:17)&gt;COUNT(Dong6),"",OFFSET(TH!K$1,SMALL(Dong6,ROWS($1:17)),))</f>
        <v>10000</v>
      </c>
    </row>
    <row r="28" spans="1:9" ht="21.75" customHeight="1">
      <c r="A28" s="840">
        <f ca="1">IF(ROWS($1:18)&gt;COUNT(Dong6),"",OFFSET(TH!C$1,SMALL(Dong6,ROWS($1:18)),))</f>
        <v>41010</v>
      </c>
      <c r="B28" s="839" t="str">
        <f ca="1">IF(ROWS($1:18)&gt;COUNT(Dong6),"",OFFSET(TH!D$1,SMALL(Dong6,ROWS($1:18)),))</f>
        <v>GBC</v>
      </c>
      <c r="C28" s="840">
        <f ca="1">IF(ROWS($1:18)&gt;COUNT(Dong6),"",OFFSET(TH!E$1,SMALL(Dong6,ROWS($1:18)),))</f>
        <v>41010</v>
      </c>
      <c r="D28" s="841" t="str">
        <f ca="1">IF(ROWS($1:18)&gt;COUNT(Dong6),"",OFFSET(TH!F$1,SMALL(Dong6,ROWS($1:18)),))</f>
        <v>Thu tiền hàng</v>
      </c>
      <c r="E28" s="839">
        <f t="shared" ca="1" si="0"/>
        <v>18</v>
      </c>
      <c r="F28" s="842" t="str">
        <f ca="1">IF(ROWS($1:18)&gt;COUNT(Dong6),"",OFFSET(TH!L$1,SMALL(Dong6,ROWS($1:18)),))</f>
        <v>1121</v>
      </c>
      <c r="G28" s="842" t="str">
        <f ca="1">IF(ROWS($1:18)&gt;COUNT(Dong6),"",OFFSET(TH!M$1,SMALL(Dong6,ROWS($1:18)),))</f>
        <v>131</v>
      </c>
      <c r="H28" s="843">
        <f ca="1">IF(ROWS($1:18)&gt;COUNT(Dong6),"",OFFSET(TH!K$1,SMALL(Dong6,ROWS($1:18)),))</f>
        <v>25000000</v>
      </c>
      <c r="I28" s="843">
        <f ca="1">IF(ROWS($1:18)&gt;COUNT(Dong6),"",OFFSET(TH!K$1,SMALL(Dong6,ROWS($1:18)),))</f>
        <v>25000000</v>
      </c>
    </row>
    <row r="29" spans="1:9" ht="21.75" customHeight="1">
      <c r="A29" s="840">
        <f ca="1">IF(ROWS($1:19)&gt;COUNT(Dong6),"",OFFSET(TH!C$1,SMALL(Dong6,ROWS($1:19)),))</f>
        <v>41012</v>
      </c>
      <c r="B29" s="839" t="str">
        <f ca="1">IF(ROWS($1:19)&gt;COUNT(Dong6),"",OFFSET(TH!D$1,SMALL(Dong6,ROWS($1:19)),))</f>
        <v>GBN</v>
      </c>
      <c r="C29" s="840">
        <f ca="1">IF(ROWS($1:19)&gt;COUNT(Dong6),"",OFFSET(TH!E$1,SMALL(Dong6,ROWS($1:19)),))</f>
        <v>41012</v>
      </c>
      <c r="D29" s="841" t="str">
        <f ca="1">IF(ROWS($1:19)&gt;COUNT(Dong6),"",OFFSET(TH!F$1,SMALL(Dong6,ROWS($1:19)),))</f>
        <v>Thanh toán tiền hàng</v>
      </c>
      <c r="E29" s="839">
        <f t="shared" ca="1" si="0"/>
        <v>19</v>
      </c>
      <c r="F29" s="842" t="str">
        <f ca="1">IF(ROWS($1:19)&gt;COUNT(Dong6),"",OFFSET(TH!L$1,SMALL(Dong6,ROWS($1:19)),))</f>
        <v>331</v>
      </c>
      <c r="G29" s="842" t="str">
        <f ca="1">IF(ROWS($1:19)&gt;COUNT(Dong6),"",OFFSET(TH!M$1,SMALL(Dong6,ROWS($1:19)),))</f>
        <v>1121</v>
      </c>
      <c r="H29" s="843">
        <f ca="1">IF(ROWS($1:19)&gt;COUNT(Dong6),"",OFFSET(TH!K$1,SMALL(Dong6,ROWS($1:19)),))</f>
        <v>26477546</v>
      </c>
      <c r="I29" s="843">
        <f ca="1">IF(ROWS($1:19)&gt;COUNT(Dong6),"",OFFSET(TH!K$1,SMALL(Dong6,ROWS($1:19)),))</f>
        <v>26477546</v>
      </c>
    </row>
    <row r="30" spans="1:9" ht="21.75" customHeight="1">
      <c r="A30" s="840">
        <f ca="1">IF(ROWS($1:20)&gt;COUNT(Dong6),"",OFFSET(TH!C$1,SMALL(Dong6,ROWS($1:20)),))</f>
        <v>41012</v>
      </c>
      <c r="B30" s="839" t="str">
        <f ca="1">IF(ROWS($1:20)&gt;COUNT(Dong6),"",OFFSET(TH!D$1,SMALL(Dong6,ROWS($1:20)),))</f>
        <v>GBN</v>
      </c>
      <c r="C30" s="840">
        <f ca="1">IF(ROWS($1:20)&gt;COUNT(Dong6),"",OFFSET(TH!E$1,SMALL(Dong6,ROWS($1:20)),))</f>
        <v>41012</v>
      </c>
      <c r="D30" s="841" t="str">
        <f ca="1">IF(ROWS($1:20)&gt;COUNT(Dong6),"",OFFSET(TH!F$1,SMALL(Dong6,ROWS($1:20)),))</f>
        <v>Phí chuyển tiền</v>
      </c>
      <c r="E30" s="839">
        <f t="shared" ca="1" si="0"/>
        <v>20</v>
      </c>
      <c r="F30" s="842" t="str">
        <f ca="1">IF(ROWS($1:20)&gt;COUNT(Dong6),"",OFFSET(TH!L$1,SMALL(Dong6,ROWS($1:20)),))</f>
        <v>642</v>
      </c>
      <c r="G30" s="842" t="str">
        <f ca="1">IF(ROWS($1:20)&gt;COUNT(Dong6),"",OFFSET(TH!M$1,SMALL(Dong6,ROWS($1:20)),))</f>
        <v>1121</v>
      </c>
      <c r="H30" s="843">
        <f ca="1">IF(ROWS($1:20)&gt;COUNT(Dong6),"",OFFSET(TH!K$1,SMALL(Dong6,ROWS($1:20)),))</f>
        <v>20000</v>
      </c>
      <c r="I30" s="843">
        <f ca="1">IF(ROWS($1:20)&gt;COUNT(Dong6),"",OFFSET(TH!K$1,SMALL(Dong6,ROWS($1:20)),))</f>
        <v>20000</v>
      </c>
    </row>
    <row r="31" spans="1:9" ht="21.75" customHeight="1">
      <c r="A31" s="840">
        <f ca="1">IF(ROWS($1:21)&gt;COUNT(Dong6),"",OFFSET(TH!C$1,SMALL(Dong6,ROWS($1:21)),))</f>
        <v>41012</v>
      </c>
      <c r="B31" s="839" t="str">
        <f ca="1">IF(ROWS($1:21)&gt;COUNT(Dong6),"",OFFSET(TH!D$1,SMALL(Dong6,ROWS($1:21)),))</f>
        <v>NL/N01</v>
      </c>
      <c r="C31" s="840">
        <f ca="1">IF(ROWS($1:21)&gt;COUNT(Dong6),"",OFFSET(TH!E$1,SMALL(Dong6,ROWS($1:21)),))</f>
        <v>41012</v>
      </c>
      <c r="D31" s="841" t="str">
        <f ca="1">IF(ROWS($1:21)&gt;COUNT(Dong6),"",OFFSET(TH!F$1,SMALL(Dong6,ROWS($1:21)),))</f>
        <v>Giấy 3 lớp (162x110)</v>
      </c>
      <c r="E31" s="839">
        <f t="shared" ca="1" si="0"/>
        <v>21</v>
      </c>
      <c r="F31" s="842" t="str">
        <f ca="1">IF(ROWS($1:21)&gt;COUNT(Dong6),"",OFFSET(TH!L$1,SMALL(Dong6,ROWS($1:21)),))</f>
        <v>1521</v>
      </c>
      <c r="G31" s="842" t="str">
        <f ca="1">IF(ROWS($1:21)&gt;COUNT(Dong6),"",OFFSET(TH!M$1,SMALL(Dong6,ROWS($1:21)),))</f>
        <v>331</v>
      </c>
      <c r="H31" s="843">
        <f ca="1">IF(ROWS($1:21)&gt;COUNT(Dong6),"",OFFSET(TH!K$1,SMALL(Dong6,ROWS($1:21)),))</f>
        <v>3104140</v>
      </c>
      <c r="I31" s="843">
        <f ca="1">IF(ROWS($1:21)&gt;COUNT(Dong6),"",OFFSET(TH!K$1,SMALL(Dong6,ROWS($1:21)),))</f>
        <v>3104140</v>
      </c>
    </row>
    <row r="32" spans="1:9" ht="21.75" customHeight="1">
      <c r="A32" s="840">
        <f ca="1">IF(ROWS($1:22)&gt;COUNT(Dong6),"",OFFSET(TH!C$1,SMALL(Dong6,ROWS($1:22)),))</f>
        <v>41012</v>
      </c>
      <c r="B32" s="839" t="str">
        <f ca="1">IF(ROWS($1:22)&gt;COUNT(Dong6),"",OFFSET(TH!D$1,SMALL(Dong6,ROWS($1:22)),))</f>
        <v>NL/N01</v>
      </c>
      <c r="C32" s="840">
        <f ca="1">IF(ROWS($1:22)&gt;COUNT(Dong6),"",OFFSET(TH!E$1,SMALL(Dong6,ROWS($1:22)),))</f>
        <v>41012</v>
      </c>
      <c r="D32" s="841" t="str">
        <f ca="1">IF(ROWS($1:22)&gt;COUNT(Dong6),"",OFFSET(TH!F$1,SMALL(Dong6,ROWS($1:22)),))</f>
        <v>Giấy 3 lớp (171x115)</v>
      </c>
      <c r="E32" s="839">
        <f t="shared" ca="1" si="0"/>
        <v>22</v>
      </c>
      <c r="F32" s="842" t="str">
        <f ca="1">IF(ROWS($1:22)&gt;COUNT(Dong6),"",OFFSET(TH!L$1,SMALL(Dong6,ROWS($1:22)),))</f>
        <v>1521</v>
      </c>
      <c r="G32" s="842" t="str">
        <f ca="1">IF(ROWS($1:22)&gt;COUNT(Dong6),"",OFFSET(TH!M$1,SMALL(Dong6,ROWS($1:22)),))</f>
        <v>331</v>
      </c>
      <c r="H32" s="843">
        <f ca="1">IF(ROWS($1:22)&gt;COUNT(Dong6),"",OFFSET(TH!K$1,SMALL(Dong6,ROWS($1:22)),))</f>
        <v>4479840</v>
      </c>
      <c r="I32" s="843">
        <f ca="1">IF(ROWS($1:22)&gt;COUNT(Dong6),"",OFFSET(TH!K$1,SMALL(Dong6,ROWS($1:22)),))</f>
        <v>4479840</v>
      </c>
    </row>
    <row r="33" spans="1:9" ht="21.75" customHeight="1">
      <c r="A33" s="840">
        <f ca="1">IF(ROWS($1:23)&gt;COUNT(Dong6),"",OFFSET(TH!C$1,SMALL(Dong6,ROWS($1:23)),))</f>
        <v>41012</v>
      </c>
      <c r="B33" s="839" t="str">
        <f ca="1">IF(ROWS($1:23)&gt;COUNT(Dong6),"",OFFSET(TH!D$1,SMALL(Dong6,ROWS($1:23)),))</f>
        <v>NL/N01</v>
      </c>
      <c r="C33" s="840">
        <f ca="1">IF(ROWS($1:23)&gt;COUNT(Dong6),"",OFFSET(TH!E$1,SMALL(Dong6,ROWS($1:23)),))</f>
        <v>41012</v>
      </c>
      <c r="D33" s="841" t="str">
        <f ca="1">IF(ROWS($1:23)&gt;COUNT(Dong6),"",OFFSET(TH!F$1,SMALL(Dong6,ROWS($1:23)),))</f>
        <v>Giấy 3 lớp (175x125)</v>
      </c>
      <c r="E33" s="839">
        <f t="shared" ca="1" si="0"/>
        <v>23</v>
      </c>
      <c r="F33" s="842" t="str">
        <f ca="1">IF(ROWS($1:23)&gt;COUNT(Dong6),"",OFFSET(TH!L$1,SMALL(Dong6,ROWS($1:23)),))</f>
        <v>1521</v>
      </c>
      <c r="G33" s="842" t="str">
        <f ca="1">IF(ROWS($1:23)&gt;COUNT(Dong6),"",OFFSET(TH!M$1,SMALL(Dong6,ROWS($1:23)),))</f>
        <v>331</v>
      </c>
      <c r="H33" s="843">
        <f ca="1">IF(ROWS($1:23)&gt;COUNT(Dong6),"",OFFSET(TH!K$1,SMALL(Dong6,ROWS($1:23)),))</f>
        <v>7621120</v>
      </c>
      <c r="I33" s="843">
        <f ca="1">IF(ROWS($1:23)&gt;COUNT(Dong6),"",OFFSET(TH!K$1,SMALL(Dong6,ROWS($1:23)),))</f>
        <v>7621120</v>
      </c>
    </row>
    <row r="34" spans="1:9" ht="21.75" customHeight="1">
      <c r="A34" s="840">
        <f ca="1">IF(ROWS($1:24)&gt;COUNT(Dong6),"",OFFSET(TH!C$1,SMALL(Dong6,ROWS($1:24)),))</f>
        <v>41012</v>
      </c>
      <c r="B34" s="839" t="str">
        <f ca="1">IF(ROWS($1:24)&gt;COUNT(Dong6),"",OFFSET(TH!D$1,SMALL(Dong6,ROWS($1:24)),))</f>
        <v>NL/N01</v>
      </c>
      <c r="C34" s="840">
        <f ca="1">IF(ROWS($1:24)&gt;COUNT(Dong6),"",OFFSET(TH!E$1,SMALL(Dong6,ROWS($1:24)),))</f>
        <v>41012</v>
      </c>
      <c r="D34" s="841" t="str">
        <f ca="1">IF(ROWS($1:24)&gt;COUNT(Dong6),"",OFFSET(TH!F$1,SMALL(Dong6,ROWS($1:24)),))</f>
        <v>Giấy 3 lớp (181x125)</v>
      </c>
      <c r="E34" s="839">
        <f t="shared" ca="1" si="0"/>
        <v>24</v>
      </c>
      <c r="F34" s="842" t="str">
        <f ca="1">IF(ROWS($1:24)&gt;COUNT(Dong6),"",OFFSET(TH!L$1,SMALL(Dong6,ROWS($1:24)),))</f>
        <v>1521</v>
      </c>
      <c r="G34" s="842" t="str">
        <f ca="1">IF(ROWS($1:24)&gt;COUNT(Dong6),"",OFFSET(TH!M$1,SMALL(Dong6,ROWS($1:24)),))</f>
        <v>331</v>
      </c>
      <c r="H34" s="843">
        <f ca="1">IF(ROWS($1:24)&gt;COUNT(Dong6),"",OFFSET(TH!K$1,SMALL(Dong6,ROWS($1:24)),))</f>
        <v>1515900</v>
      </c>
      <c r="I34" s="843">
        <f ca="1">IF(ROWS($1:24)&gt;COUNT(Dong6),"",OFFSET(TH!K$1,SMALL(Dong6,ROWS($1:24)),))</f>
        <v>1515900</v>
      </c>
    </row>
    <row r="35" spans="1:9" ht="21.75" customHeight="1">
      <c r="A35" s="840">
        <f ca="1">IF(ROWS($1:25)&gt;COUNT(Dong6),"",OFFSET(TH!C$1,SMALL(Dong6,ROWS($1:25)),))</f>
        <v>41012</v>
      </c>
      <c r="B35" s="839" t="str">
        <f ca="1">IF(ROWS($1:25)&gt;COUNT(Dong6),"",OFFSET(TH!D$1,SMALL(Dong6,ROWS($1:25)),))</f>
        <v>NL/N01</v>
      </c>
      <c r="C35" s="840">
        <f ca="1">IF(ROWS($1:25)&gt;COUNT(Dong6),"",OFFSET(TH!E$1,SMALL(Dong6,ROWS($1:25)),))</f>
        <v>41012</v>
      </c>
      <c r="D35" s="841" t="str">
        <f ca="1">IF(ROWS($1:25)&gt;COUNT(Dong6),"",OFFSET(TH!F$1,SMALL(Dong6,ROWS($1:25)),))</f>
        <v>Giấy 3 lớp (205x145)</v>
      </c>
      <c r="E35" s="839">
        <f t="shared" ca="1" si="0"/>
        <v>25</v>
      </c>
      <c r="F35" s="842" t="str">
        <f ca="1">IF(ROWS($1:25)&gt;COUNT(Dong6),"",OFFSET(TH!L$1,SMALL(Dong6,ROWS($1:25)),))</f>
        <v>1521</v>
      </c>
      <c r="G35" s="842" t="str">
        <f ca="1">IF(ROWS($1:25)&gt;COUNT(Dong6),"",OFFSET(TH!M$1,SMALL(Dong6,ROWS($1:25)),))</f>
        <v>331</v>
      </c>
      <c r="H35" s="843">
        <f ca="1">IF(ROWS($1:25)&gt;COUNT(Dong6),"",OFFSET(TH!K$1,SMALL(Dong6,ROWS($1:25)),))</f>
        <v>25014496</v>
      </c>
      <c r="I35" s="843">
        <f ca="1">IF(ROWS($1:25)&gt;COUNT(Dong6),"",OFFSET(TH!K$1,SMALL(Dong6,ROWS($1:25)),))</f>
        <v>25014496</v>
      </c>
    </row>
    <row r="36" spans="1:9" ht="21.75" customHeight="1">
      <c r="A36" s="840">
        <f ca="1">IF(ROWS($1:26)&gt;COUNT(Dong6),"",OFFSET(TH!C$1,SMALL(Dong6,ROWS($1:26)),))</f>
        <v>41012</v>
      </c>
      <c r="B36" s="839" t="str">
        <f ca="1">IF(ROWS($1:26)&gt;COUNT(Dong6),"",OFFSET(TH!D$1,SMALL(Dong6,ROWS($1:26)),))</f>
        <v>NL/N01</v>
      </c>
      <c r="C36" s="840">
        <f ca="1">IF(ROWS($1:26)&gt;COUNT(Dong6),"",OFFSET(TH!E$1,SMALL(Dong6,ROWS($1:26)),))</f>
        <v>41012</v>
      </c>
      <c r="D36" s="841" t="str">
        <f ca="1">IF(ROWS($1:26)&gt;COUNT(Dong6),"",OFFSET(TH!F$1,SMALL(Dong6,ROWS($1:26)),))</f>
        <v>Giấy 3 lớp (225x145)</v>
      </c>
      <c r="E36" s="839">
        <f t="shared" ca="1" si="0"/>
        <v>26</v>
      </c>
      <c r="F36" s="842" t="str">
        <f ca="1">IF(ROWS($1:26)&gt;COUNT(Dong6),"",OFFSET(TH!L$1,SMALL(Dong6,ROWS($1:26)),))</f>
        <v>1521</v>
      </c>
      <c r="G36" s="842" t="str">
        <f ca="1">IF(ROWS($1:26)&gt;COUNT(Dong6),"",OFFSET(TH!M$1,SMALL(Dong6,ROWS($1:26)),))</f>
        <v>331</v>
      </c>
      <c r="H36" s="843">
        <f ca="1">IF(ROWS($1:26)&gt;COUNT(Dong6),"",OFFSET(TH!K$1,SMALL(Dong6,ROWS($1:26)),))</f>
        <v>3497440</v>
      </c>
      <c r="I36" s="843">
        <f ca="1">IF(ROWS($1:26)&gt;COUNT(Dong6),"",OFFSET(TH!K$1,SMALL(Dong6,ROWS($1:26)),))</f>
        <v>3497440</v>
      </c>
    </row>
    <row r="37" spans="1:9" ht="21.75" customHeight="1">
      <c r="A37" s="840">
        <f ca="1">IF(ROWS($1:27)&gt;COUNT(Dong6),"",OFFSET(TH!C$1,SMALL(Dong6,ROWS($1:27)),))</f>
        <v>41012</v>
      </c>
      <c r="B37" s="839" t="str">
        <f ca="1">IF(ROWS($1:27)&gt;COUNT(Dong6),"",OFFSET(TH!D$1,SMALL(Dong6,ROWS($1:27)),))</f>
        <v>NL/N01</v>
      </c>
      <c r="C37" s="840">
        <f ca="1">IF(ROWS($1:27)&gt;COUNT(Dong6),"",OFFSET(TH!E$1,SMALL(Dong6,ROWS($1:27)),))</f>
        <v>41012</v>
      </c>
      <c r="D37" s="841" t="str">
        <f ca="1">IF(ROWS($1:27)&gt;COUNT(Dong6),"",OFFSET(TH!F$1,SMALL(Dong6,ROWS($1:27)),))</f>
        <v>Giấy 3 lớp (197x145)</v>
      </c>
      <c r="E37" s="839">
        <f t="shared" ca="1" si="0"/>
        <v>27</v>
      </c>
      <c r="F37" s="842" t="str">
        <f ca="1">IF(ROWS($1:27)&gt;COUNT(Dong6),"",OFFSET(TH!L$1,SMALL(Dong6,ROWS($1:27)),))</f>
        <v>1521</v>
      </c>
      <c r="G37" s="842" t="str">
        <f ca="1">IF(ROWS($1:27)&gt;COUNT(Dong6),"",OFFSET(TH!M$1,SMALL(Dong6,ROWS($1:27)),))</f>
        <v>331</v>
      </c>
      <c r="H37" s="843">
        <f ca="1">IF(ROWS($1:27)&gt;COUNT(Dong6),"",OFFSET(TH!K$1,SMALL(Dong6,ROWS($1:27)),))</f>
        <v>22966800</v>
      </c>
      <c r="I37" s="843">
        <f ca="1">IF(ROWS($1:27)&gt;COUNT(Dong6),"",OFFSET(TH!K$1,SMALL(Dong6,ROWS($1:27)),))</f>
        <v>22966800</v>
      </c>
    </row>
    <row r="38" spans="1:9" ht="21.75" customHeight="1">
      <c r="A38" s="840">
        <f ca="1">IF(ROWS($1:28)&gt;COUNT(Dong6),"",OFFSET(TH!C$1,SMALL(Dong6,ROWS($1:28)),))</f>
        <v>41012</v>
      </c>
      <c r="B38" s="839" t="str">
        <f ca="1">IF(ROWS($1:28)&gt;COUNT(Dong6),"",OFFSET(TH!D$1,SMALL(Dong6,ROWS($1:28)),))</f>
        <v>NL/N01</v>
      </c>
      <c r="C38" s="840">
        <f ca="1">IF(ROWS($1:28)&gt;COUNT(Dong6),"",OFFSET(TH!E$1,SMALL(Dong6,ROWS($1:28)),))</f>
        <v>41012</v>
      </c>
      <c r="D38" s="841" t="str">
        <f ca="1">IF(ROWS($1:28)&gt;COUNT(Dong6),"",OFFSET(TH!F$1,SMALL(Dong6,ROWS($1:28)),))</f>
        <v>Giấy 3 lớp (217x160)</v>
      </c>
      <c r="E38" s="839">
        <f t="shared" ca="1" si="0"/>
        <v>28</v>
      </c>
      <c r="F38" s="842" t="str">
        <f ca="1">IF(ROWS($1:28)&gt;COUNT(Dong6),"",OFFSET(TH!L$1,SMALL(Dong6,ROWS($1:28)),))</f>
        <v>1521</v>
      </c>
      <c r="G38" s="842" t="str">
        <f ca="1">IF(ROWS($1:28)&gt;COUNT(Dong6),"",OFFSET(TH!M$1,SMALL(Dong6,ROWS($1:28)),))</f>
        <v>331</v>
      </c>
      <c r="H38" s="843">
        <f ca="1">IF(ROWS($1:28)&gt;COUNT(Dong6),"",OFFSET(TH!K$1,SMALL(Dong6,ROWS($1:28)),))</f>
        <v>2791440</v>
      </c>
      <c r="I38" s="843">
        <f ca="1">IF(ROWS($1:28)&gt;COUNT(Dong6),"",OFFSET(TH!K$1,SMALL(Dong6,ROWS($1:28)),))</f>
        <v>2791440</v>
      </c>
    </row>
    <row r="39" spans="1:9" ht="21.75" customHeight="1">
      <c r="A39" s="840">
        <f ca="1">IF(ROWS($1:29)&gt;COUNT(Dong6),"",OFFSET(TH!C$1,SMALL(Dong6,ROWS($1:29)),))</f>
        <v>41012</v>
      </c>
      <c r="B39" s="839" t="str">
        <f ca="1">IF(ROWS($1:29)&gt;COUNT(Dong6),"",OFFSET(TH!D$1,SMALL(Dong6,ROWS($1:29)),))</f>
        <v>NL/N01</v>
      </c>
      <c r="C39" s="840">
        <f ca="1">IF(ROWS($1:29)&gt;COUNT(Dong6),"",OFFSET(TH!E$1,SMALL(Dong6,ROWS($1:29)),))</f>
        <v>41012</v>
      </c>
      <c r="D39" s="841" t="str">
        <f ca="1">IF(ROWS($1:29)&gt;COUNT(Dong6),"",OFFSET(TH!F$1,SMALL(Dong6,ROWS($1:29)),))</f>
        <v>Giấy 3 lớp (219x160)</v>
      </c>
      <c r="E39" s="839">
        <f t="shared" ca="1" si="0"/>
        <v>29</v>
      </c>
      <c r="F39" s="842" t="str">
        <f ca="1">IF(ROWS($1:29)&gt;COUNT(Dong6),"",OFFSET(TH!L$1,SMALL(Dong6,ROWS($1:29)),))</f>
        <v>1521</v>
      </c>
      <c r="G39" s="842" t="str">
        <f ca="1">IF(ROWS($1:29)&gt;COUNT(Dong6),"",OFFSET(TH!M$1,SMALL(Dong6,ROWS($1:29)),))</f>
        <v>331</v>
      </c>
      <c r="H39" s="843">
        <f ca="1">IF(ROWS($1:29)&gt;COUNT(Dong6),"",OFFSET(TH!K$1,SMALL(Dong6,ROWS($1:29)),))</f>
        <v>3052010</v>
      </c>
      <c r="I39" s="843">
        <f ca="1">IF(ROWS($1:29)&gt;COUNT(Dong6),"",OFFSET(TH!K$1,SMALL(Dong6,ROWS($1:29)),))</f>
        <v>3052010</v>
      </c>
    </row>
    <row r="40" spans="1:9" ht="21.75" customHeight="1">
      <c r="A40" s="840">
        <f ca="1">IF(ROWS($1:30)&gt;COUNT(Dong6),"",OFFSET(TH!C$1,SMALL(Dong6,ROWS($1:30)),))</f>
        <v>41012</v>
      </c>
      <c r="B40" s="839" t="str">
        <f ca="1">IF(ROWS($1:30)&gt;COUNT(Dong6),"",OFFSET(TH!D$1,SMALL(Dong6,ROWS($1:30)),))</f>
        <v>NL/N01</v>
      </c>
      <c r="C40" s="840">
        <f ca="1">IF(ROWS($1:30)&gt;COUNT(Dong6),"",OFFSET(TH!E$1,SMALL(Dong6,ROWS($1:30)),))</f>
        <v>41012</v>
      </c>
      <c r="D40" s="841" t="str">
        <f ca="1">IF(ROWS($1:30)&gt;COUNT(Dong6),"",OFFSET(TH!F$1,SMALL(Dong6,ROWS($1:30)),))</f>
        <v>VAT Giấy</v>
      </c>
      <c r="E40" s="839">
        <f t="shared" ca="1" si="0"/>
        <v>30</v>
      </c>
      <c r="F40" s="842" t="str">
        <f ca="1">IF(ROWS($1:30)&gt;COUNT(Dong6),"",OFFSET(TH!L$1,SMALL(Dong6,ROWS($1:30)),))</f>
        <v>1331</v>
      </c>
      <c r="G40" s="842" t="str">
        <f ca="1">IF(ROWS($1:30)&gt;COUNT(Dong6),"",OFFSET(TH!M$1,SMALL(Dong6,ROWS($1:30)),))</f>
        <v>331</v>
      </c>
      <c r="H40" s="843">
        <f ca="1">IF(ROWS($1:30)&gt;COUNT(Dong6),"",OFFSET(TH!K$1,SMALL(Dong6,ROWS($1:30)),))</f>
        <v>7404319</v>
      </c>
      <c r="I40" s="843">
        <f ca="1">IF(ROWS($1:30)&gt;COUNT(Dong6),"",OFFSET(TH!K$1,SMALL(Dong6,ROWS($1:30)),))</f>
        <v>7404319</v>
      </c>
    </row>
    <row r="41" spans="1:9" ht="21.75" customHeight="1">
      <c r="A41" s="840">
        <f ca="1">IF(ROWS($1:31)&gt;COUNT(Dong6),"",OFFSET(TH!C$1,SMALL(Dong6,ROWS($1:31)),))</f>
        <v>41012</v>
      </c>
      <c r="B41" s="839" t="str">
        <f ca="1">IF(ROWS($1:31)&gt;COUNT(Dong6),"",OFFSET(TH!D$1,SMALL(Dong6,ROWS($1:31)),))</f>
        <v>NL/N02</v>
      </c>
      <c r="C41" s="840">
        <f ca="1">IF(ROWS($1:31)&gt;COUNT(Dong6),"",OFFSET(TH!E$1,SMALL(Dong6,ROWS($1:31)),))</f>
        <v>41012</v>
      </c>
      <c r="D41" s="841" t="str">
        <f ca="1">IF(ROWS($1:31)&gt;COUNT(Dong6),"",OFFSET(TH!F$1,SMALL(Dong6,ROWS($1:31)),))</f>
        <v>Giấy 3 lớp (225x85)</v>
      </c>
      <c r="E41" s="839">
        <f t="shared" ca="1" si="0"/>
        <v>31</v>
      </c>
      <c r="F41" s="842" t="str">
        <f ca="1">IF(ROWS($1:31)&gt;COUNT(Dong6),"",OFFSET(TH!L$1,SMALL(Dong6,ROWS($1:31)),))</f>
        <v>1521</v>
      </c>
      <c r="G41" s="842" t="str">
        <f ca="1">IF(ROWS($1:31)&gt;COUNT(Dong6),"",OFFSET(TH!M$1,SMALL(Dong6,ROWS($1:31)),))</f>
        <v>331</v>
      </c>
      <c r="H41" s="843">
        <f ca="1">IF(ROWS($1:31)&gt;COUNT(Dong6),"",OFFSET(TH!K$1,SMALL(Dong6,ROWS($1:31)),))</f>
        <v>1281400</v>
      </c>
      <c r="I41" s="843">
        <f ca="1">IF(ROWS($1:31)&gt;COUNT(Dong6),"",OFFSET(TH!K$1,SMALL(Dong6,ROWS($1:31)),))</f>
        <v>1281400</v>
      </c>
    </row>
    <row r="42" spans="1:9" ht="21.75" customHeight="1">
      <c r="A42" s="840">
        <f ca="1">IF(ROWS($1:32)&gt;COUNT(Dong6),"",OFFSET(TH!C$1,SMALL(Dong6,ROWS($1:32)),))</f>
        <v>41012</v>
      </c>
      <c r="B42" s="839" t="str">
        <f ca="1">IF(ROWS($1:32)&gt;COUNT(Dong6),"",OFFSET(TH!D$1,SMALL(Dong6,ROWS($1:32)),))</f>
        <v>NL/N02</v>
      </c>
      <c r="C42" s="840">
        <f ca="1">IF(ROWS($1:32)&gt;COUNT(Dong6),"",OFFSET(TH!E$1,SMALL(Dong6,ROWS($1:32)),))</f>
        <v>41012</v>
      </c>
      <c r="D42" s="841" t="str">
        <f ca="1">IF(ROWS($1:32)&gt;COUNT(Dong6),"",OFFSET(TH!F$1,SMALL(Dong6,ROWS($1:32)),))</f>
        <v>Giấy 3 lớp (242x85)</v>
      </c>
      <c r="E42" s="839">
        <f t="shared" ca="1" si="0"/>
        <v>32</v>
      </c>
      <c r="F42" s="842" t="str">
        <f ca="1">IF(ROWS($1:32)&gt;COUNT(Dong6),"",OFFSET(TH!L$1,SMALL(Dong6,ROWS($1:32)),))</f>
        <v>1521</v>
      </c>
      <c r="G42" s="842" t="str">
        <f ca="1">IF(ROWS($1:32)&gt;COUNT(Dong6),"",OFFSET(TH!M$1,SMALL(Dong6,ROWS($1:32)),))</f>
        <v>331</v>
      </c>
      <c r="H42" s="843">
        <f ca="1">IF(ROWS($1:32)&gt;COUNT(Dong6),"",OFFSET(TH!K$1,SMALL(Dong6,ROWS($1:32)),))</f>
        <v>1378200</v>
      </c>
      <c r="I42" s="843">
        <f ca="1">IF(ROWS($1:32)&gt;COUNT(Dong6),"",OFFSET(TH!K$1,SMALL(Dong6,ROWS($1:32)),))</f>
        <v>1378200</v>
      </c>
    </row>
    <row r="43" spans="1:9" ht="21.75" customHeight="1">
      <c r="A43" s="840">
        <f ca="1">IF(ROWS($1:33)&gt;COUNT(Dong6),"",OFFSET(TH!C$1,SMALL(Dong6,ROWS($1:33)),))</f>
        <v>41012</v>
      </c>
      <c r="B43" s="839" t="str">
        <f ca="1">IF(ROWS($1:33)&gt;COUNT(Dong6),"",OFFSET(TH!D$1,SMALL(Dong6,ROWS($1:33)),))</f>
        <v>NL/N02</v>
      </c>
      <c r="C43" s="840">
        <f ca="1">IF(ROWS($1:33)&gt;COUNT(Dong6),"",OFFSET(TH!E$1,SMALL(Dong6,ROWS($1:33)),))</f>
        <v>41012</v>
      </c>
      <c r="D43" s="841" t="str">
        <f ca="1">IF(ROWS($1:33)&gt;COUNT(Dong6),"",OFFSET(TH!F$1,SMALL(Dong6,ROWS($1:33)),))</f>
        <v>Giấy 3 lớp (149x115)</v>
      </c>
      <c r="E43" s="839">
        <f t="shared" ca="1" si="0"/>
        <v>33</v>
      </c>
      <c r="F43" s="842" t="str">
        <f ca="1">IF(ROWS($1:33)&gt;COUNT(Dong6),"",OFFSET(TH!L$1,SMALL(Dong6,ROWS($1:33)),))</f>
        <v>1521</v>
      </c>
      <c r="G43" s="842" t="str">
        <f ca="1">IF(ROWS($1:33)&gt;COUNT(Dong6),"",OFFSET(TH!M$1,SMALL(Dong6,ROWS($1:33)),))</f>
        <v>331</v>
      </c>
      <c r="H43" s="843">
        <f ca="1">IF(ROWS($1:33)&gt;COUNT(Dong6),"",OFFSET(TH!K$1,SMALL(Dong6,ROWS($1:33)),))</f>
        <v>2870000</v>
      </c>
      <c r="I43" s="843">
        <f ca="1">IF(ROWS($1:33)&gt;COUNT(Dong6),"",OFFSET(TH!K$1,SMALL(Dong6,ROWS($1:33)),))</f>
        <v>2870000</v>
      </c>
    </row>
    <row r="44" spans="1:9" ht="21.75" customHeight="1">
      <c r="A44" s="840">
        <f ca="1">IF(ROWS($1:34)&gt;COUNT(Dong6),"",OFFSET(TH!C$1,SMALL(Dong6,ROWS($1:34)),))</f>
        <v>41012</v>
      </c>
      <c r="B44" s="839" t="str">
        <f ca="1">IF(ROWS($1:34)&gt;COUNT(Dong6),"",OFFSET(TH!D$1,SMALL(Dong6,ROWS($1:34)),))</f>
        <v>NL/N02</v>
      </c>
      <c r="C44" s="840">
        <f ca="1">IF(ROWS($1:34)&gt;COUNT(Dong6),"",OFFSET(TH!E$1,SMALL(Dong6,ROWS($1:34)),))</f>
        <v>41012</v>
      </c>
      <c r="D44" s="841" t="str">
        <f ca="1">IF(ROWS($1:34)&gt;COUNT(Dong6),"",OFFSET(TH!F$1,SMALL(Dong6,ROWS($1:34)),))</f>
        <v>Giấy 5 lớp (205x140)</v>
      </c>
      <c r="E44" s="839">
        <f t="shared" ca="1" si="0"/>
        <v>34</v>
      </c>
      <c r="F44" s="842" t="str">
        <f ca="1">IF(ROWS($1:34)&gt;COUNT(Dong6),"",OFFSET(TH!L$1,SMALL(Dong6,ROWS($1:34)),))</f>
        <v>1521</v>
      </c>
      <c r="G44" s="842" t="str">
        <f ca="1">IF(ROWS($1:34)&gt;COUNT(Dong6),"",OFFSET(TH!M$1,SMALL(Dong6,ROWS($1:34)),))</f>
        <v>331</v>
      </c>
      <c r="H44" s="843">
        <f ca="1">IF(ROWS($1:34)&gt;COUNT(Dong6),"",OFFSET(TH!K$1,SMALL(Dong6,ROWS($1:34)),))</f>
        <v>2203012</v>
      </c>
      <c r="I44" s="843">
        <f ca="1">IF(ROWS($1:34)&gt;COUNT(Dong6),"",OFFSET(TH!K$1,SMALL(Dong6,ROWS($1:34)),))</f>
        <v>2203012</v>
      </c>
    </row>
    <row r="45" spans="1:9" ht="21.75" customHeight="1">
      <c r="A45" s="840">
        <f ca="1">IF(ROWS($1:35)&gt;COUNT(Dong6),"",OFFSET(TH!C$1,SMALL(Dong6,ROWS($1:35)),))</f>
        <v>41012</v>
      </c>
      <c r="B45" s="839" t="str">
        <f ca="1">IF(ROWS($1:35)&gt;COUNT(Dong6),"",OFFSET(TH!D$1,SMALL(Dong6,ROWS($1:35)),))</f>
        <v>NL/N02</v>
      </c>
      <c r="C45" s="840">
        <f ca="1">IF(ROWS($1:35)&gt;COUNT(Dong6),"",OFFSET(TH!E$1,SMALL(Dong6,ROWS($1:35)),))</f>
        <v>41012</v>
      </c>
      <c r="D45" s="841" t="str">
        <f ca="1">IF(ROWS($1:35)&gt;COUNT(Dong6),"",OFFSET(TH!F$1,SMALL(Dong6,ROWS($1:35)),))</f>
        <v>Giấy 5 lớp (128x90)</v>
      </c>
      <c r="E45" s="839">
        <f t="shared" ca="1" si="0"/>
        <v>35</v>
      </c>
      <c r="F45" s="842" t="str">
        <f ca="1">IF(ROWS($1:35)&gt;COUNT(Dong6),"",OFFSET(TH!L$1,SMALL(Dong6,ROWS($1:35)),))</f>
        <v>1521</v>
      </c>
      <c r="G45" s="842" t="str">
        <f ca="1">IF(ROWS($1:35)&gt;COUNT(Dong6),"",OFFSET(TH!M$1,SMALL(Dong6,ROWS($1:35)),))</f>
        <v>331</v>
      </c>
      <c r="H45" s="843">
        <f ca="1">IF(ROWS($1:35)&gt;COUNT(Dong6),"",OFFSET(TH!K$1,SMALL(Dong6,ROWS($1:35)),))</f>
        <v>3723200</v>
      </c>
      <c r="I45" s="843">
        <f ca="1">IF(ROWS($1:35)&gt;COUNT(Dong6),"",OFFSET(TH!K$1,SMALL(Dong6,ROWS($1:35)),))</f>
        <v>3723200</v>
      </c>
    </row>
    <row r="46" spans="1:9" ht="21.75" customHeight="1">
      <c r="A46" s="840">
        <f ca="1">IF(ROWS($1:36)&gt;COUNT(Dong6),"",OFFSET(TH!C$1,SMALL(Dong6,ROWS($1:36)),))</f>
        <v>41012</v>
      </c>
      <c r="B46" s="839" t="str">
        <f ca="1">IF(ROWS($1:36)&gt;COUNT(Dong6),"",OFFSET(TH!D$1,SMALL(Dong6,ROWS($1:36)),))</f>
        <v>NL/N02</v>
      </c>
      <c r="C46" s="840">
        <f ca="1">IF(ROWS($1:36)&gt;COUNT(Dong6),"",OFFSET(TH!E$1,SMALL(Dong6,ROWS($1:36)),))</f>
        <v>41012</v>
      </c>
      <c r="D46" s="841" t="str">
        <f ca="1">IF(ROWS($1:36)&gt;COUNT(Dong6),"",OFFSET(TH!F$1,SMALL(Dong6,ROWS($1:36)),))</f>
        <v>Giấy 5 lớp (137x115)</v>
      </c>
      <c r="E46" s="839">
        <f t="shared" ca="1" si="0"/>
        <v>36</v>
      </c>
      <c r="F46" s="842" t="str">
        <f ca="1">IF(ROWS($1:36)&gt;COUNT(Dong6),"",OFFSET(TH!L$1,SMALL(Dong6,ROWS($1:36)),))</f>
        <v>1521</v>
      </c>
      <c r="G46" s="842" t="str">
        <f ca="1">IF(ROWS($1:36)&gt;COUNT(Dong6),"",OFFSET(TH!M$1,SMALL(Dong6,ROWS($1:36)),))</f>
        <v>331</v>
      </c>
      <c r="H46" s="843">
        <f ca="1">IF(ROWS($1:36)&gt;COUNT(Dong6),"",OFFSET(TH!K$1,SMALL(Dong6,ROWS($1:36)),))</f>
        <v>7956500</v>
      </c>
      <c r="I46" s="843">
        <f ca="1">IF(ROWS($1:36)&gt;COUNT(Dong6),"",OFFSET(TH!K$1,SMALL(Dong6,ROWS($1:36)),))</f>
        <v>7956500</v>
      </c>
    </row>
    <row r="47" spans="1:9" ht="21.75" customHeight="1">
      <c r="A47" s="840">
        <f ca="1">IF(ROWS($1:37)&gt;COUNT(Dong6),"",OFFSET(TH!C$1,SMALL(Dong6,ROWS($1:37)),))</f>
        <v>41012</v>
      </c>
      <c r="B47" s="839" t="str">
        <f ca="1">IF(ROWS($1:37)&gt;COUNT(Dong6),"",OFFSET(TH!D$1,SMALL(Dong6,ROWS($1:37)),))</f>
        <v>NL/N02</v>
      </c>
      <c r="C47" s="840">
        <f ca="1">IF(ROWS($1:37)&gt;COUNT(Dong6),"",OFFSET(TH!E$1,SMALL(Dong6,ROWS($1:37)),))</f>
        <v>41012</v>
      </c>
      <c r="D47" s="841" t="str">
        <f ca="1">IF(ROWS($1:37)&gt;COUNT(Dong6),"",OFFSET(TH!F$1,SMALL(Dong6,ROWS($1:37)),))</f>
        <v>Giấy 5 lớp (149x115)</v>
      </c>
      <c r="E47" s="839">
        <f t="shared" ca="1" si="0"/>
        <v>37</v>
      </c>
      <c r="F47" s="842" t="str">
        <f ca="1">IF(ROWS($1:37)&gt;COUNT(Dong6),"",OFFSET(TH!L$1,SMALL(Dong6,ROWS($1:37)),))</f>
        <v>1521</v>
      </c>
      <c r="G47" s="842" t="str">
        <f ca="1">IF(ROWS($1:37)&gt;COUNT(Dong6),"",OFFSET(TH!M$1,SMALL(Dong6,ROWS($1:37)),))</f>
        <v>331</v>
      </c>
      <c r="H47" s="843">
        <f ca="1">IF(ROWS($1:37)&gt;COUNT(Dong6),"",OFFSET(TH!K$1,SMALL(Dong6,ROWS($1:37)),))</f>
        <v>865300</v>
      </c>
      <c r="I47" s="843">
        <f ca="1">IF(ROWS($1:37)&gt;COUNT(Dong6),"",OFFSET(TH!K$1,SMALL(Dong6,ROWS($1:37)),))</f>
        <v>865300</v>
      </c>
    </row>
    <row r="48" spans="1:9" ht="21.75" customHeight="1">
      <c r="A48" s="840">
        <f ca="1">IF(ROWS($1:38)&gt;COUNT(Dong6),"",OFFSET(TH!C$1,SMALL(Dong6,ROWS($1:38)),))</f>
        <v>41012</v>
      </c>
      <c r="B48" s="839" t="str">
        <f ca="1">IF(ROWS($1:38)&gt;COUNT(Dong6),"",OFFSET(TH!D$1,SMALL(Dong6,ROWS($1:38)),))</f>
        <v>NL/N02</v>
      </c>
      <c r="C48" s="840">
        <f ca="1">IF(ROWS($1:38)&gt;COUNT(Dong6),"",OFFSET(TH!E$1,SMALL(Dong6,ROWS($1:38)),))</f>
        <v>41012</v>
      </c>
      <c r="D48" s="841" t="str">
        <f ca="1">IF(ROWS($1:38)&gt;COUNT(Dong6),"",OFFSET(TH!F$1,SMALL(Dong6,ROWS($1:38)),))</f>
        <v>Giấy 5 lớp (147x125)</v>
      </c>
      <c r="E48" s="839">
        <f t="shared" ca="1" si="0"/>
        <v>38</v>
      </c>
      <c r="F48" s="842" t="str">
        <f ca="1">IF(ROWS($1:38)&gt;COUNT(Dong6),"",OFFSET(TH!L$1,SMALL(Dong6,ROWS($1:38)),))</f>
        <v>1521</v>
      </c>
      <c r="G48" s="842" t="str">
        <f ca="1">IF(ROWS($1:38)&gt;COUNT(Dong6),"",OFFSET(TH!M$1,SMALL(Dong6,ROWS($1:38)),))</f>
        <v>331</v>
      </c>
      <c r="H48" s="843">
        <f ca="1">IF(ROWS($1:38)&gt;COUNT(Dong6),"",OFFSET(TH!K$1,SMALL(Dong6,ROWS($1:38)),))</f>
        <v>6495650</v>
      </c>
      <c r="I48" s="843">
        <f ca="1">IF(ROWS($1:38)&gt;COUNT(Dong6),"",OFFSET(TH!K$1,SMALL(Dong6,ROWS($1:38)),))</f>
        <v>6495650</v>
      </c>
    </row>
    <row r="49" spans="1:10" ht="21.75" customHeight="1">
      <c r="A49" s="840">
        <f ca="1">IF(ROWS($1:39)&gt;COUNT(Dong6),"",OFFSET(TH!C$1,SMALL(Dong6,ROWS($1:39)),))</f>
        <v>41012</v>
      </c>
      <c r="B49" s="839" t="str">
        <f ca="1">IF(ROWS($1:39)&gt;COUNT(Dong6),"",OFFSET(TH!D$1,SMALL(Dong6,ROWS($1:39)),))</f>
        <v>NL/N02</v>
      </c>
      <c r="C49" s="840">
        <f ca="1">IF(ROWS($1:39)&gt;COUNT(Dong6),"",OFFSET(TH!E$1,SMALL(Dong6,ROWS($1:39)),))</f>
        <v>41012</v>
      </c>
      <c r="D49" s="841" t="str">
        <f ca="1">IF(ROWS($1:39)&gt;COUNT(Dong6),"",OFFSET(TH!F$1,SMALL(Dong6,ROWS($1:39)),))</f>
        <v>VAT Giấy</v>
      </c>
      <c r="E49" s="839">
        <f t="shared" ca="1" si="0"/>
        <v>39</v>
      </c>
      <c r="F49" s="842" t="str">
        <f ca="1">IF(ROWS($1:39)&gt;COUNT(Dong6),"",OFFSET(TH!L$1,SMALL(Dong6,ROWS($1:39)),))</f>
        <v>1331</v>
      </c>
      <c r="G49" s="842" t="str">
        <f ca="1">IF(ROWS($1:39)&gt;COUNT(Dong6),"",OFFSET(TH!M$1,SMALL(Dong6,ROWS($1:39)),))</f>
        <v>331</v>
      </c>
      <c r="H49" s="843">
        <f ca="1">IF(ROWS($1:39)&gt;COUNT(Dong6),"",OFFSET(TH!K$1,SMALL(Dong6,ROWS($1:39)),))</f>
        <v>2677326</v>
      </c>
      <c r="I49" s="843">
        <f ca="1">IF(ROWS($1:39)&gt;COUNT(Dong6),"",OFFSET(TH!K$1,SMALL(Dong6,ROWS($1:39)),))</f>
        <v>2677326</v>
      </c>
    </row>
    <row r="50" spans="1:10" ht="21.75" customHeight="1">
      <c r="A50" s="840">
        <f ca="1">IF(ROWS($1:40)&gt;COUNT(Dong6),"",OFFSET(TH!C$1,SMALL(Dong6,ROWS($1:40)),))</f>
        <v>41013</v>
      </c>
      <c r="B50" s="839" t="str">
        <f ca="1">IF(ROWS($1:40)&gt;COUNT(Dong6),"",OFFSET(TH!D$1,SMALL(Dong6,ROWS($1:40)),))</f>
        <v>NL/N03</v>
      </c>
      <c r="C50" s="840">
        <f ca="1">IF(ROWS($1:40)&gt;COUNT(Dong6),"",OFFSET(TH!E$1,SMALL(Dong6,ROWS($1:40)),))</f>
        <v>41013</v>
      </c>
      <c r="D50" s="841" t="str">
        <f ca="1">IF(ROWS($1:40)&gt;COUNT(Dong6),"",OFFSET(TH!F$1,SMALL(Dong6,ROWS($1:40)),))</f>
        <v>Giấy 3 lớp (86x145)</v>
      </c>
      <c r="E50" s="839">
        <f t="shared" ca="1" si="0"/>
        <v>40</v>
      </c>
      <c r="F50" s="842" t="str">
        <f ca="1">IF(ROWS($1:40)&gt;COUNT(Dong6),"",OFFSET(TH!L$1,SMALL(Dong6,ROWS($1:40)),))</f>
        <v>1521</v>
      </c>
      <c r="G50" s="842" t="str">
        <f ca="1">IF(ROWS($1:40)&gt;COUNT(Dong6),"",OFFSET(TH!M$1,SMALL(Dong6,ROWS($1:40)),))</f>
        <v>331</v>
      </c>
      <c r="H50" s="843">
        <f ca="1">IF(ROWS($1:40)&gt;COUNT(Dong6),"",OFFSET(TH!K$1,SMALL(Dong6,ROWS($1:40)),))</f>
        <v>3273550</v>
      </c>
      <c r="I50" s="843">
        <f ca="1">IF(ROWS($1:40)&gt;COUNT(Dong6),"",OFFSET(TH!K$1,SMALL(Dong6,ROWS($1:40)),))</f>
        <v>3273550</v>
      </c>
    </row>
    <row r="51" spans="1:10" ht="21.75" customHeight="1">
      <c r="A51" s="789"/>
      <c r="B51" s="789"/>
      <c r="C51" s="789"/>
      <c r="D51" s="789"/>
      <c r="E51" s="788" t="str">
        <f t="shared" si="0"/>
        <v/>
      </c>
      <c r="F51" s="789"/>
      <c r="G51" s="789"/>
      <c r="H51" s="795"/>
      <c r="I51" s="795"/>
    </row>
    <row r="52" spans="1:10" ht="21.75" customHeight="1">
      <c r="A52" s="790"/>
      <c r="B52" s="790"/>
      <c r="C52" s="790"/>
      <c r="D52" s="791" t="s">
        <v>445</v>
      </c>
      <c r="E52" s="792" t="s">
        <v>19</v>
      </c>
      <c r="F52" s="792"/>
      <c r="G52" s="792" t="s">
        <v>19</v>
      </c>
      <c r="H52" s="796">
        <f ca="1">SUBTOTAL(9,$H$10:$H$51)</f>
        <v>4212889568</v>
      </c>
      <c r="I52" s="796">
        <f ca="1">SUBTOTAL(9,I10:I51)</f>
        <v>4212889568</v>
      </c>
    </row>
    <row r="53" spans="1:10">
      <c r="A53" s="793" t="s">
        <v>440</v>
      </c>
    </row>
    <row r="54" spans="1:10">
      <c r="A54" s="793" t="str">
        <f ca="1">"- Ngày mở sổ: "&amp;DAY($A$11)&amp;"/"&amp;MONTH($A$11)&amp;"/ " &amp;YEAR($A$11)</f>
        <v>- Ngày mở sổ: 30/6/ 2012</v>
      </c>
    </row>
    <row r="56" spans="1:10">
      <c r="H56" s="780" t="s">
        <v>441</v>
      </c>
      <c r="I56" s="780"/>
      <c r="J56" s="780"/>
    </row>
    <row r="57" spans="1:10">
      <c r="B57" s="780" t="s">
        <v>442</v>
      </c>
      <c r="D57" s="780" t="s">
        <v>12</v>
      </c>
      <c r="H57" s="780" t="s">
        <v>443</v>
      </c>
      <c r="I57" s="780"/>
      <c r="J57" s="780"/>
    </row>
    <row r="58" spans="1:10">
      <c r="B58" s="780" t="s">
        <v>13</v>
      </c>
      <c r="D58" s="780" t="s">
        <v>13</v>
      </c>
      <c r="H58" s="780" t="s">
        <v>143</v>
      </c>
      <c r="I58" s="780"/>
      <c r="J58" s="780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67" t="s">
        <v>158</v>
      </c>
      <c r="H2" s="967"/>
      <c r="I2" s="967"/>
    </row>
    <row r="3" spans="1:9" ht="15.75" customHeight="1">
      <c r="A3" s="1" t="str">
        <f>TH!A2</f>
        <v>Địa chỉ: Lô A14, Đường 4A, KCN Hải Sơn, Đức Hòa, Long An</v>
      </c>
      <c r="G3" s="968" t="s">
        <v>126</v>
      </c>
      <c r="H3" s="968"/>
      <c r="I3" s="968"/>
    </row>
    <row r="4" spans="1:9">
      <c r="F4" s="17"/>
      <c r="G4" s="968"/>
      <c r="H4" s="968"/>
      <c r="I4" s="968"/>
    </row>
    <row r="5" spans="1:9" ht="17.25" customHeight="1">
      <c r="A5" s="969" t="s">
        <v>160</v>
      </c>
      <c r="B5" s="969"/>
      <c r="C5" s="969"/>
      <c r="D5" s="969"/>
      <c r="E5" s="969"/>
      <c r="F5" s="969"/>
      <c r="G5" s="969"/>
      <c r="H5" s="969"/>
      <c r="I5" s="969"/>
    </row>
    <row r="6" spans="1:9">
      <c r="A6" s="970" t="s">
        <v>161</v>
      </c>
      <c r="B6" s="971"/>
      <c r="C6" s="971"/>
      <c r="D6" s="971"/>
      <c r="E6" s="971"/>
      <c r="F6" s="971"/>
      <c r="G6" s="971"/>
      <c r="H6" s="971"/>
      <c r="I6" s="971"/>
    </row>
    <row r="7" spans="1:9">
      <c r="B7" s="5"/>
      <c r="C7" s="5"/>
      <c r="D7" s="199" t="s">
        <v>162</v>
      </c>
      <c r="E7" s="200" t="s">
        <v>58</v>
      </c>
    </row>
    <row r="8" spans="1:9">
      <c r="B8" s="5"/>
      <c r="C8" s="5"/>
      <c r="D8" s="199" t="s">
        <v>163</v>
      </c>
      <c r="E8" s="5" t="str">
        <f>VLOOKUP($E$7,DSTK,2,0)</f>
        <v xml:space="preserve"> Phải Thu Khác </v>
      </c>
    </row>
    <row r="9" spans="1:9">
      <c r="A9" s="971" t="s">
        <v>29</v>
      </c>
      <c r="B9" s="972"/>
      <c r="C9" s="972"/>
      <c r="D9" s="972"/>
      <c r="E9" s="972"/>
      <c r="F9" s="972"/>
      <c r="G9" s="972"/>
      <c r="H9" s="972"/>
      <c r="I9" s="972"/>
    </row>
    <row r="10" spans="1:9" ht="9.75" customHeight="1">
      <c r="C10" s="973"/>
      <c r="D10" s="974"/>
      <c r="E10" s="974"/>
      <c r="F10" s="974"/>
      <c r="G10" s="974"/>
      <c r="H10" s="974"/>
      <c r="I10" s="974"/>
    </row>
    <row r="11" spans="1:9" s="18" customFormat="1" ht="19.5" customHeight="1">
      <c r="A11" s="975" t="s">
        <v>20</v>
      </c>
      <c r="B11" s="965" t="s">
        <v>1</v>
      </c>
      <c r="C11" s="976"/>
      <c r="D11" s="975" t="s">
        <v>0</v>
      </c>
      <c r="E11" s="975" t="s">
        <v>14</v>
      </c>
      <c r="F11" s="965" t="s">
        <v>21</v>
      </c>
      <c r="G11" s="976"/>
      <c r="H11" s="965" t="s">
        <v>31</v>
      </c>
      <c r="I11" s="966"/>
    </row>
    <row r="12" spans="1:9" s="18" customFormat="1" ht="32.25" customHeight="1">
      <c r="A12" s="975"/>
      <c r="B12" s="259" t="s">
        <v>15</v>
      </c>
      <c r="C12" s="259" t="s">
        <v>32</v>
      </c>
      <c r="D12" s="975"/>
      <c r="E12" s="975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173</v>
      </c>
      <c r="E25" s="229"/>
    </row>
    <row r="26" spans="1:9" s="18" customFormat="1" ht="12.75">
      <c r="A26" s="229"/>
      <c r="B26" s="229"/>
      <c r="C26" s="28" t="s">
        <v>164</v>
      </c>
      <c r="E26" s="229"/>
    </row>
    <row r="27" spans="1:9" s="18" customFormat="1" ht="13.5" customHeight="1">
      <c r="A27" s="229"/>
      <c r="B27" s="229"/>
      <c r="C27" s="229"/>
      <c r="E27" s="963" t="s">
        <v>165</v>
      </c>
      <c r="F27" s="963"/>
      <c r="G27" s="963"/>
      <c r="H27" s="963"/>
      <c r="I27" s="963"/>
    </row>
    <row r="28" spans="1:9" s="18" customFormat="1" ht="12.75">
      <c r="A28" s="963" t="s">
        <v>11</v>
      </c>
      <c r="B28" s="963"/>
      <c r="C28" s="963"/>
      <c r="D28" s="963"/>
      <c r="E28" s="963" t="s">
        <v>12</v>
      </c>
      <c r="F28" s="963"/>
      <c r="G28" s="963"/>
      <c r="H28" s="963"/>
      <c r="I28" s="963"/>
    </row>
    <row r="29" spans="1:9" s="18" customFormat="1" ht="12.75">
      <c r="A29" s="963" t="s">
        <v>13</v>
      </c>
      <c r="B29" s="963"/>
      <c r="C29" s="963"/>
      <c r="D29" s="963"/>
      <c r="E29" s="963" t="s">
        <v>13</v>
      </c>
      <c r="F29" s="963"/>
      <c r="G29" s="963"/>
      <c r="H29" s="963"/>
      <c r="I29" s="963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64" t="s">
        <v>167</v>
      </c>
      <c r="B36" s="964"/>
      <c r="C36" s="964"/>
      <c r="D36" s="964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27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67" t="s">
        <v>125</v>
      </c>
      <c r="H1" s="967"/>
      <c r="I1" s="967"/>
      <c r="J1" s="967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68" t="s">
        <v>126</v>
      </c>
      <c r="H2" s="968"/>
      <c r="I2" s="968"/>
      <c r="J2" s="968"/>
    </row>
    <row r="3" spans="1:15" s="3" customFormat="1" ht="16.5" customHeight="1">
      <c r="A3" s="4"/>
      <c r="B3" s="16"/>
      <c r="C3" s="114"/>
      <c r="D3" s="114"/>
      <c r="E3" s="16"/>
      <c r="G3" s="968"/>
      <c r="H3" s="968"/>
      <c r="I3" s="968"/>
      <c r="J3" s="968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77" t="s">
        <v>127</v>
      </c>
      <c r="B5" s="977"/>
      <c r="C5" s="977"/>
      <c r="D5" s="977"/>
      <c r="E5" s="977"/>
      <c r="F5" s="977"/>
      <c r="G5" s="977"/>
      <c r="H5" s="977"/>
      <c r="I5" s="977"/>
      <c r="J5" s="977"/>
    </row>
    <row r="6" spans="1:15" ht="14.25" customHeight="1">
      <c r="A6" s="979" t="str">
        <f>$L$11&amp;" / 2015"</f>
        <v>Quý IV / 2015</v>
      </c>
      <c r="B6" s="979"/>
      <c r="C6" s="979"/>
      <c r="D6" s="979"/>
      <c r="E6" s="979"/>
      <c r="F6" s="979"/>
      <c r="G6" s="979"/>
      <c r="H6" s="979"/>
      <c r="I6" s="979"/>
      <c r="J6" s="979"/>
    </row>
    <row r="7" spans="1:15">
      <c r="A7" s="978" t="s">
        <v>128</v>
      </c>
      <c r="B7" s="978"/>
      <c r="C7" s="978"/>
      <c r="D7" s="978"/>
      <c r="E7" s="978"/>
      <c r="F7" s="978"/>
      <c r="G7" s="978"/>
      <c r="H7" s="978"/>
      <c r="I7" s="978"/>
      <c r="J7" s="978"/>
    </row>
    <row r="8" spans="1:15">
      <c r="A8" s="978" t="s">
        <v>129</v>
      </c>
      <c r="B8" s="978"/>
      <c r="C8" s="978"/>
      <c r="D8" s="978"/>
      <c r="E8" s="978"/>
      <c r="F8" s="978"/>
      <c r="G8" s="978"/>
      <c r="H8" s="978"/>
      <c r="I8" s="978"/>
      <c r="J8" s="978"/>
    </row>
    <row r="9" spans="1:15">
      <c r="A9" s="117"/>
      <c r="I9" s="117" t="s">
        <v>130</v>
      </c>
    </row>
    <row r="10" spans="1:15" ht="33" customHeight="1" thickBot="1">
      <c r="A10" s="981" t="s">
        <v>20</v>
      </c>
      <c r="B10" s="981" t="s">
        <v>131</v>
      </c>
      <c r="C10" s="980" t="s">
        <v>132</v>
      </c>
      <c r="D10" s="980"/>
      <c r="E10" s="980" t="s">
        <v>0</v>
      </c>
      <c r="F10" s="981" t="s">
        <v>14</v>
      </c>
      <c r="G10" s="980" t="s">
        <v>21</v>
      </c>
      <c r="H10" s="980"/>
      <c r="I10" s="980" t="s">
        <v>133</v>
      </c>
      <c r="J10" s="980" t="s">
        <v>134</v>
      </c>
      <c r="L10" s="708"/>
      <c r="N10" s="924" t="s">
        <v>399</v>
      </c>
      <c r="O10" s="924"/>
    </row>
    <row r="11" spans="1:15" ht="24" customHeight="1" thickBot="1">
      <c r="A11" s="982"/>
      <c r="B11" s="982"/>
      <c r="C11" s="118" t="s">
        <v>135</v>
      </c>
      <c r="D11" s="118" t="s">
        <v>136</v>
      </c>
      <c r="E11" s="980"/>
      <c r="F11" s="982"/>
      <c r="G11" s="118" t="s">
        <v>22</v>
      </c>
      <c r="H11" s="118" t="s">
        <v>23</v>
      </c>
      <c r="I11" s="980"/>
      <c r="J11" s="980"/>
      <c r="L11" s="185" t="s">
        <v>543</v>
      </c>
      <c r="N11" s="799">
        <f>IF(L11="Quý I",1,IF(L11="Quý II",4,IF(L11="Quý III",7,IF(L11="Quý IV",10,""))))</f>
        <v>10</v>
      </c>
      <c r="O11" s="799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00"/>
      <c r="O12" s="800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2003732054</v>
      </c>
      <c r="J13" s="122"/>
      <c r="N13" s="801"/>
      <c r="O13" s="801"/>
    </row>
    <row r="14" spans="1:15" ht="19.5" customHeight="1">
      <c r="A14" s="125">
        <f ca="1">IF(ROWS($1:1)&gt;COUNT(Dong1),"",OFFSET(TH!C$1,SMALL(Dong1,ROWS($1:1)),))</f>
        <v>41213</v>
      </c>
      <c r="B14" s="125">
        <f ca="1">IF(ROWS($1:1)&gt;COUNT(Dong1),"",OFFSET(TH!E$1,SMALL(Dong1,ROWS($1:1)),))</f>
        <v>41213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CTGS</v>
      </c>
      <c r="E14" s="244" t="str">
        <f ca="1">IF(ROWS($1:1)&gt;COUNT(Dong1),"",OFFSET(TH!F$1,SMALL(Dong1,ROWS($1:1)),))</f>
        <v>Thanh toán tiền lương tháng 10/2012</v>
      </c>
      <c r="F14" s="129" t="str">
        <f ca="1">IF(ROWS($1:1)&gt;COUNT(Dong1),"",IF(OFFSET(TH!M$1,SMALL(Dong1,ROWS($1:1)),)="1111",OFFSET(TH!L$1,SMALL(Dong1,ROWS($1:1)),),OFFSET(TH!M$1,SMALL(Dong1,ROWS($1:1)),)))</f>
        <v>3341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2003732054</v>
      </c>
      <c r="J14" s="131"/>
      <c r="N14" s="802"/>
      <c r="O14" s="802"/>
    </row>
    <row r="15" spans="1:15" ht="19.5" customHeight="1">
      <c r="A15" s="125">
        <f ca="1">IF(ROWS($1:2)&gt;COUNT(Dong1),"",OFFSET(TH!C$1,SMALL(Dong1,ROWS($1:2)),))</f>
        <v>41243</v>
      </c>
      <c r="B15" s="125">
        <f ca="1">IF(ROWS($1:2)&gt;COUNT(Dong1),"",OFFSET(TH!E$1,SMALL(Dong1,ROWS($1:2)),))</f>
        <v>41243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CTGS</v>
      </c>
      <c r="E15" s="244" t="str">
        <f ca="1">IF(ROWS($1:2)&gt;COUNT(Dong1),"",OFFSET(TH!F$1,SMALL(Dong1,ROWS($1:2)),))</f>
        <v>Thanh toán tiền lương tháng 11/2012</v>
      </c>
      <c r="F15" s="129" t="str">
        <f ca="1">IF(ROWS($1:2)&gt;COUNT(Dong1),"",IF(OFFSET(TH!M$1,SMALL(Dong1,ROWS($1:2)),)="1111",OFFSET(TH!L$1,SMALL(Dong1,ROWS($1:2)),),OFFSET(TH!M$1,SMALL(Dong1,ROWS($1:2)),)))</f>
        <v>3341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2003732054</v>
      </c>
      <c r="J15" s="131"/>
      <c r="N15" s="802"/>
      <c r="O15" s="802"/>
    </row>
    <row r="16" spans="1:15" ht="19.5" customHeight="1">
      <c r="A16" s="125">
        <f ca="1">IF(ROWS($1:3)&gt;COUNT(Dong1),"",OFFSET(TH!C$1,SMALL(Dong1,ROWS($1:3)),))</f>
        <v>41274</v>
      </c>
      <c r="B16" s="125">
        <f ca="1">IF(ROWS($1:3)&gt;COUNT(Dong1),"",OFFSET(TH!E$1,SMALL(Dong1,ROWS($1:3)),))</f>
        <v>41274</v>
      </c>
      <c r="C16" s="126" t="str">
        <f ca="1">IF(ROWS($1:3)&gt;COUNT(Dong1),"",IF(OFFSET(TH!L$1,SMALL(Dong1,ROWS($1:3)),)="1111",OFFSET(TH!D$1,SMALL(Dong1,ROWS($1:3)),),""))</f>
        <v/>
      </c>
      <c r="D16" s="127" t="str">
        <f ca="1">IF(ROWS($1:3)&gt;COUNT(Dong1),"",IF(OFFSET(TH!M$1,SMALL(Dong1,ROWS($1:3)),)="1111",OFFSET(TH!D$1,SMALL(Dong1,ROWS($1:3)),),""))</f>
        <v>CTGS</v>
      </c>
      <c r="E16" s="244" t="str">
        <f ca="1">IF(ROWS($1:3)&gt;COUNT(Dong1),"",OFFSET(TH!F$1,SMALL(Dong1,ROWS($1:3)),))</f>
        <v>Thanh toán tiền lương tháng 12/2012</v>
      </c>
      <c r="F16" s="129" t="str">
        <f ca="1">IF(ROWS($1:3)&gt;COUNT(Dong1),"",IF(OFFSET(TH!M$1,SMALL(Dong1,ROWS($1:3)),)="1111",OFFSET(TH!L$1,SMALL(Dong1,ROWS($1:3)),),OFFSET(TH!M$1,SMALL(Dong1,ROWS($1:3)),)))</f>
        <v>3341</v>
      </c>
      <c r="G16" s="130">
        <f ca="1">IF(ROWS($1:3)&gt;COUNT(Dong1),"",IF(OFFSET(TH!L$1,SMALL(Dong1,ROWS($1:3)),)="1111",OFFSET(TH!K$1,SMALL(Dong1,ROWS($1:3)),),0))</f>
        <v>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2003732054</v>
      </c>
      <c r="J16" s="131"/>
      <c r="N16" s="802"/>
      <c r="O16" s="802"/>
    </row>
    <row r="17" spans="1:15" ht="19.5" customHeight="1">
      <c r="A17" s="125">
        <f ca="1">IF(ROWS($1:4)&gt;COUNT(Dong1),"",OFFSET(TH!C$1,SMALL(Dong1,ROWS($1:4)),))</f>
        <v>41184</v>
      </c>
      <c r="B17" s="125">
        <f ca="1">IF(ROWS($1:4)&gt;COUNT(Dong1),"",OFFSET(TH!E$1,SMALL(Dong1,ROWS($1:4)),))</f>
        <v>41184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C01</v>
      </c>
      <c r="E17" s="244" t="str">
        <f ca="1">IF(ROWS($1:4)&gt;COUNT(Dong1),"",OFFSET(TH!F$1,SMALL(Dong1,ROWS($1:4)),))</f>
        <v>Nộp tiền mặt vào tài khoản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5000000</v>
      </c>
      <c r="I17" s="126">
        <f t="shared" ca="1" si="0"/>
        <v>1998732054</v>
      </c>
      <c r="J17" s="131"/>
      <c r="N17" s="802"/>
      <c r="O17" s="802"/>
    </row>
    <row r="18" spans="1:15" ht="19.5" customHeight="1">
      <c r="A18" s="125">
        <f ca="1">IF(ROWS($1:5)&gt;COUNT(Dong1),"",OFFSET(TH!C$1,SMALL(Dong1,ROWS($1:5)),))</f>
        <v>41191</v>
      </c>
      <c r="B18" s="125">
        <f ca="1">IF(ROWS($1:5)&gt;COUNT(Dong1),"",OFFSET(TH!E$1,SMALL(Dong1,ROWS($1:5)),))</f>
        <v>41191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C02</v>
      </c>
      <c r="E18" s="244" t="str">
        <f ca="1">IF(ROWS($1:5)&gt;COUNT(Dong1),"",OFFSET(TH!F$1,SMALL(Dong1,ROWS($1:5)),))</f>
        <v>Nộp tiền mặt vào tài khoản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48000000</v>
      </c>
      <c r="I18" s="126">
        <f t="shared" ca="1" si="0"/>
        <v>1950732054</v>
      </c>
      <c r="J18" s="131"/>
      <c r="N18" s="802"/>
      <c r="O18" s="802"/>
    </row>
    <row r="19" spans="1:15" ht="19.5" customHeight="1">
      <c r="A19" s="125">
        <f ca="1">IF(ROWS($1:6)&gt;COUNT(Dong1),"",OFFSET(TH!C$1,SMALL(Dong1,ROWS($1:6)),))</f>
        <v>41197</v>
      </c>
      <c r="B19" s="125">
        <f ca="1">IF(ROWS($1:6)&gt;COUNT(Dong1),"",OFFSET(TH!E$1,SMALL(Dong1,ROWS($1:6)),))</f>
        <v>41197</v>
      </c>
      <c r="C19" s="126" t="str">
        <f ca="1">IF(ROWS($1:6)&gt;COUNT(Dong1),"",IF(OFFSET(TH!L$1,SMALL(Dong1,ROWS($1:6)),)="1111",OFFSET(TH!D$1,SMALL(Dong1,ROWS($1:6)),),""))</f>
        <v>T01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8000000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1958732054</v>
      </c>
      <c r="J19" s="131"/>
      <c r="N19" s="802"/>
      <c r="O19" s="802"/>
    </row>
    <row r="20" spans="1:15" ht="19.5" customHeight="1">
      <c r="A20" s="125">
        <f ca="1">IF(ROWS($1:7)&gt;COUNT(Dong1),"",OFFSET(TH!C$1,SMALL(Dong1,ROWS($1:7)),))</f>
        <v>41197</v>
      </c>
      <c r="B20" s="125">
        <f ca="1">IF(ROWS($1:7)&gt;COUNT(Dong1),"",OFFSET(TH!E$1,SMALL(Dong1,ROWS($1:7)),))</f>
        <v>41197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C03</v>
      </c>
      <c r="E20" s="244" t="str">
        <f ca="1">IF(ROWS($1:7)&gt;COUNT(Dong1),"",OFFSET(TH!F$1,SMALL(Dong1,ROWS($1:7)),))</f>
        <v>Mực in V-FLEX 8841 Violet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2000000</v>
      </c>
      <c r="I20" s="126">
        <f t="shared" ca="1" si="0"/>
        <v>1956732054</v>
      </c>
      <c r="J20" s="131"/>
      <c r="N20" s="802"/>
      <c r="O20" s="802"/>
    </row>
    <row r="21" spans="1:15" ht="19.5" customHeight="1">
      <c r="A21" s="125">
        <f ca="1">IF(ROWS($1:8)&gt;COUNT(Dong1),"",OFFSET(TH!C$1,SMALL(Dong1,ROWS($1:8)),))</f>
        <v>41197</v>
      </c>
      <c r="B21" s="125">
        <f ca="1">IF(ROWS($1:8)&gt;COUNT(Dong1),"",OFFSET(TH!E$1,SMALL(Dong1,ROWS($1:8)),))</f>
        <v>41197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C03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200000</v>
      </c>
      <c r="I21" s="126">
        <f t="shared" ca="1" si="0"/>
        <v>1956532054</v>
      </c>
      <c r="J21" s="131"/>
      <c r="N21" s="802"/>
      <c r="O21" s="802"/>
    </row>
    <row r="22" spans="1:15" ht="19.5" customHeight="1">
      <c r="A22" s="125">
        <f ca="1">IF(ROWS($1:9)&gt;COUNT(Dong1),"",OFFSET(TH!C$1,SMALL(Dong1,ROWS($1:9)),))</f>
        <v>41199</v>
      </c>
      <c r="B22" s="125">
        <f ca="1">IF(ROWS($1:9)&gt;COUNT(Dong1),"",OFFSET(TH!E$1,SMALL(Dong1,ROWS($1:9)),))</f>
        <v>41199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C04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55000000</v>
      </c>
      <c r="I22" s="126">
        <f t="shared" ca="1" si="0"/>
        <v>1901532054</v>
      </c>
      <c r="J22" s="131"/>
      <c r="N22" s="802"/>
      <c r="O22" s="802"/>
    </row>
    <row r="23" spans="1:15" ht="19.5" customHeight="1">
      <c r="A23" s="125">
        <f ca="1">IF(ROWS($1:10)&gt;COUNT(Dong1),"",OFFSET(TH!C$1,SMALL(Dong1,ROWS($1:10)),))</f>
        <v>41205</v>
      </c>
      <c r="B23" s="125">
        <f ca="1">IF(ROWS($1:10)&gt;COUNT(Dong1),"",OFFSET(TH!E$1,SMALL(Dong1,ROWS($1:10)),))</f>
        <v>41205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C05</v>
      </c>
      <c r="E23" s="244" t="str">
        <f ca="1">IF(ROWS($1:10)&gt;COUNT(Dong1),"",OFFSET(TH!F$1,SMALL(Dong1,ROWS($1:10)),))</f>
        <v>Mực in V-FLEX 6412 Red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3900000</v>
      </c>
      <c r="I23" s="126">
        <f t="shared" ca="1" si="0"/>
        <v>1897632054</v>
      </c>
      <c r="J23" s="131"/>
      <c r="N23" s="802"/>
      <c r="O23" s="802"/>
    </row>
    <row r="24" spans="1:15" ht="19.5" customHeight="1">
      <c r="A24" s="125">
        <f ca="1">IF(ROWS($1:11)&gt;COUNT(Dong1),"",OFFSET(TH!C$1,SMALL(Dong1,ROWS($1:11)),))</f>
        <v>41205</v>
      </c>
      <c r="B24" s="125">
        <f ca="1">IF(ROWS($1:11)&gt;COUNT(Dong1),"",OFFSET(TH!E$1,SMALL(Dong1,ROWS($1:11)),))</f>
        <v>41205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C05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390000</v>
      </c>
      <c r="I24" s="126">
        <f t="shared" ca="1" si="0"/>
        <v>1897242054</v>
      </c>
      <c r="J24" s="131"/>
      <c r="N24" s="802"/>
      <c r="O24" s="802"/>
    </row>
    <row r="25" spans="1:15" ht="19.5" customHeight="1">
      <c r="A25" s="125">
        <f ca="1">IF(ROWS($1:12)&gt;COUNT(Dong1),"",OFFSET(TH!C$1,SMALL(Dong1,ROWS($1:12)),))</f>
        <v>41206</v>
      </c>
      <c r="B25" s="125">
        <f ca="1">IF(ROWS($1:12)&gt;COUNT(Dong1),"",OFFSET(TH!E$1,SMALL(Dong1,ROWS($1:12)),))</f>
        <v>41206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C06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4300000</v>
      </c>
      <c r="I25" s="126">
        <f t="shared" ca="1" si="0"/>
        <v>1892942054</v>
      </c>
      <c r="J25" s="131"/>
      <c r="N25" s="802"/>
      <c r="O25" s="802"/>
    </row>
    <row r="26" spans="1:15" ht="19.5" customHeight="1">
      <c r="A26" s="125">
        <f ca="1">IF(ROWS($1:13)&gt;COUNT(Dong1),"",OFFSET(TH!C$1,SMALL(Dong1,ROWS($1:13)),))</f>
        <v>41207</v>
      </c>
      <c r="B26" s="125">
        <f ca="1">IF(ROWS($1:13)&gt;COUNT(Dong1),"",OFFSET(TH!E$1,SMALL(Dong1,ROWS($1:13)),))</f>
        <v>41207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C07</v>
      </c>
      <c r="E26" s="244" t="str">
        <f ca="1">IF(ROWS($1:13)&gt;COUNT(Dong1),"",OFFSET(TH!F$1,SMALL(Dong1,ROWS($1:13)),))</f>
        <v>Mực in V-FLEX 8869 Blue</v>
      </c>
      <c r="F26" s="129" t="str">
        <f ca="1">IF(ROWS($1:13)&gt;COUNT(Dong1),"",IF(OFFSET(TH!M$1,SMALL(Dong1,ROWS($1:13)),)="1111",OFFSET(TH!L$1,SMALL(Dong1,ROWS($1:13)),),OFFSET(TH!M$1,SMALL(Dong1,ROWS($1:13)),)))</f>
        <v>154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1380000</v>
      </c>
      <c r="I26" s="126">
        <f t="shared" ca="1" si="0"/>
        <v>1891562054</v>
      </c>
      <c r="J26" s="131"/>
      <c r="N26" s="802"/>
      <c r="O26" s="802"/>
    </row>
    <row r="27" spans="1:15" ht="19.5" customHeight="1">
      <c r="A27" s="125">
        <f ca="1">IF(ROWS($1:14)&gt;COUNT(Dong1),"",OFFSET(TH!C$1,SMALL(Dong1,ROWS($1:14)),))</f>
        <v>41207</v>
      </c>
      <c r="B27" s="125">
        <f ca="1">IF(ROWS($1:14)&gt;COUNT(Dong1),"",OFFSET(TH!E$1,SMALL(Dong1,ROWS($1:14)),))</f>
        <v>41207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C07</v>
      </c>
      <c r="E27" s="244" t="str">
        <f ca="1">IF(ROWS($1:14)&gt;COUNT(Dong1),"",OFFSET(TH!F$1,SMALL(Dong1,ROWS($1:14)),))</f>
        <v>VAT Mực in</v>
      </c>
      <c r="F27" s="129" t="str">
        <f ca="1">IF(ROWS($1:14)&gt;COUNT(Dong1),"",IF(OFFSET(TH!M$1,SMALL(Dong1,ROWS($1:14)),)="1111",OFFSET(TH!L$1,SMALL(Dong1,ROWS($1:14)),),OFFSET(TH!M$1,SMALL(Dong1,ROWS($1:14)),)))</f>
        <v>1331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138000</v>
      </c>
      <c r="I27" s="126">
        <f t="shared" ca="1" si="0"/>
        <v>1891424054</v>
      </c>
      <c r="J27" s="131"/>
      <c r="N27" s="802"/>
      <c r="O27" s="802"/>
    </row>
    <row r="28" spans="1:15" ht="19.5" customHeight="1">
      <c r="A28" s="125">
        <f ca="1">IF(ROWS($1:15)&gt;COUNT(Dong1),"",OFFSET(TH!C$1,SMALL(Dong1,ROWS($1:15)),))</f>
        <v>41209</v>
      </c>
      <c r="B28" s="125">
        <f ca="1">IF(ROWS($1:15)&gt;COUNT(Dong1),"",OFFSET(TH!E$1,SMALL(Dong1,ROWS($1:15)),))</f>
        <v>41209</v>
      </c>
      <c r="C28" s="126" t="str">
        <f ca="1">IF(ROWS($1:15)&gt;COUNT(Dong1),"",IF(OFFSET(TH!L$1,SMALL(Dong1,ROWS($1:15)),)="1111",OFFSET(TH!D$1,SMALL(Dong1,ROWS($1:15)),),""))</f>
        <v/>
      </c>
      <c r="D28" s="127" t="str">
        <f ca="1">IF(ROWS($1:15)&gt;COUNT(Dong1),"",IF(OFFSET(TH!M$1,SMALL(Dong1,ROWS($1:15)),)="1111",OFFSET(TH!D$1,SMALL(Dong1,ROWS($1:15)),),""))</f>
        <v>C08</v>
      </c>
      <c r="E28" s="244" t="str">
        <f ca="1">IF(ROWS($1:15)&gt;COUNT(Dong1),"",OFFSET(TH!F$1,SMALL(Dong1,ROWS($1:15)),))</f>
        <v>Nộp tiền mặt vào tài khoản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100000</v>
      </c>
      <c r="I28" s="126">
        <f t="shared" ca="1" si="0"/>
        <v>1891324054</v>
      </c>
      <c r="J28" s="131"/>
      <c r="N28" s="802"/>
      <c r="O28" s="802"/>
    </row>
    <row r="29" spans="1:15" ht="19.5" customHeight="1">
      <c r="A29" s="125">
        <f ca="1">IF(ROWS($1:16)&gt;COUNT(Dong1),"",OFFSET(TH!C$1,SMALL(Dong1,ROWS($1:16)),))</f>
        <v>41211</v>
      </c>
      <c r="B29" s="125">
        <f ca="1">IF(ROWS($1:16)&gt;COUNT(Dong1),"",OFFSET(TH!E$1,SMALL(Dong1,ROWS($1:16)),))</f>
        <v>41211</v>
      </c>
      <c r="C29" s="126" t="str">
        <f ca="1">IF(ROWS($1:16)&gt;COUNT(Dong1),"",IF(OFFSET(TH!L$1,SMALL(Dong1,ROWS($1:16)),)="1111",OFFSET(TH!D$1,SMALL(Dong1,ROWS($1:16)),),""))</f>
        <v/>
      </c>
      <c r="D29" s="127" t="str">
        <f ca="1">IF(ROWS($1:16)&gt;COUNT(Dong1),"",IF(OFFSET(TH!M$1,SMALL(Dong1,ROWS($1:16)),)="1111",OFFSET(TH!D$1,SMALL(Dong1,ROWS($1:16)),),""))</f>
        <v>C09</v>
      </c>
      <c r="E29" s="244" t="str">
        <f ca="1">IF(ROWS($1:16)&gt;COUNT(Dong1),"",OFFSET(TH!F$1,SMALL(Dong1,ROWS($1:16)),))</f>
        <v>Nộp tiền mặt vào tài khoản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50000000</v>
      </c>
      <c r="I29" s="126">
        <f t="shared" ca="1" si="0"/>
        <v>1841324054</v>
      </c>
      <c r="J29" s="131"/>
      <c r="N29" s="802"/>
      <c r="O29" s="802"/>
    </row>
    <row r="30" spans="1:15" ht="19.5" customHeight="1">
      <c r="A30" s="125">
        <f ca="1">IF(ROWS($1:17)&gt;COUNT(Dong1),"",OFFSET(TH!C$1,SMALL(Dong1,ROWS($1:17)),))</f>
        <v>41214</v>
      </c>
      <c r="B30" s="125">
        <f ca="1">IF(ROWS($1:17)&gt;COUNT(Dong1),"",OFFSET(TH!E$1,SMALL(Dong1,ROWS($1:17)),))</f>
        <v>41214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C10</v>
      </c>
      <c r="E30" s="244" t="str">
        <f ca="1">IF(ROWS($1:17)&gt;COUNT(Dong1),"",OFFSET(TH!F$1,SMALL(Dong1,ROWS($1:17)),))</f>
        <v>Nộp tiền mặt vào tài khoản</v>
      </c>
      <c r="F30" s="129" t="str">
        <f ca="1">IF(ROWS($1:17)&gt;COUNT(Dong1),"",IF(OFFSET(TH!M$1,SMALL(Dong1,ROWS($1:17)),)="1111",OFFSET(TH!L$1,SMALL(Dong1,ROWS($1:17)),),OFFSET(TH!M$1,SMALL(Dong1,ROWS($1:17)),)))</f>
        <v>1121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62000000</v>
      </c>
      <c r="I30" s="126">
        <f t="shared" ca="1" si="0"/>
        <v>1779324054</v>
      </c>
      <c r="J30" s="131"/>
      <c r="N30" s="802"/>
      <c r="O30" s="802"/>
    </row>
    <row r="31" spans="1:15" ht="19.5" customHeight="1">
      <c r="A31" s="125">
        <f ca="1">IF(ROWS($1:18)&gt;COUNT(Dong1),"",OFFSET(TH!C$1,SMALL(Dong1,ROWS($1:18)),))</f>
        <v>41222</v>
      </c>
      <c r="B31" s="125">
        <f ca="1">IF(ROWS($1:18)&gt;COUNT(Dong1),"",OFFSET(TH!E$1,SMALL(Dong1,ROWS($1:18)),))</f>
        <v>41222</v>
      </c>
      <c r="C31" s="126" t="str">
        <f ca="1">IF(ROWS($1:18)&gt;COUNT(Dong1),"",IF(OFFSET(TH!L$1,SMALL(Dong1,ROWS($1:18)),)="1111",OFFSET(TH!D$1,SMALL(Dong1,ROWS($1:18)),),""))</f>
        <v>T01</v>
      </c>
      <c r="D31" s="127" t="str">
        <f ca="1">IF(ROWS($1:18)&gt;COUNT(Dong1),"",IF(OFFSET(TH!M$1,SMALL(Dong1,ROWS($1:18)),)="1111",OFFSET(TH!D$1,SMALL(Dong1,ROWS($1:18)),),""))</f>
        <v/>
      </c>
      <c r="E31" s="244" t="str">
        <f ca="1">IF(ROWS($1:18)&gt;COUNT(Dong1),"",OFFSET(TH!F$1,SMALL(Dong1,ROWS($1:18)),))</f>
        <v>Chi Sec nhập quỹ tiền mặt</v>
      </c>
      <c r="F31" s="129" t="str">
        <f ca="1">IF(ROWS($1:18)&gt;COUNT(Dong1),"",IF(OFFSET(TH!M$1,SMALL(Dong1,ROWS($1:18)),)="1111",OFFSET(TH!L$1,SMALL(Dong1,ROWS($1:18)),),OFFSET(TH!M$1,SMALL(Dong1,ROWS($1:18)),)))</f>
        <v>1121</v>
      </c>
      <c r="G31" s="130">
        <f ca="1">IF(ROWS($1:18)&gt;COUNT(Dong1),"",IF(OFFSET(TH!L$1,SMALL(Dong1,ROWS($1:18)),)="1111",OFFSET(TH!K$1,SMALL(Dong1,ROWS($1:18)),),0))</f>
        <v>41000000</v>
      </c>
      <c r="H31" s="128">
        <f ca="1">IF(ROWS($1:18)&gt;COUNT(Dong1),"",IF(OFFSET(TH!M$1,SMALL(Dong1,ROWS($1:18)),)="1111",OFFSET(TH!K$1,SMALL(Dong1,ROWS($1:18)),),0))</f>
        <v>0</v>
      </c>
      <c r="I31" s="126">
        <f t="shared" ca="1" si="0"/>
        <v>1820324054</v>
      </c>
      <c r="J31" s="131"/>
      <c r="N31" s="802"/>
      <c r="O31" s="802"/>
    </row>
    <row r="32" spans="1:15" ht="19.5" customHeight="1">
      <c r="A32" s="125">
        <f ca="1">IF(ROWS($1:19)&gt;COUNT(Dong1),"",OFFSET(TH!C$1,SMALL(Dong1,ROWS($1:19)),))</f>
        <v>41222</v>
      </c>
      <c r="B32" s="125">
        <f ca="1">IF(ROWS($1:19)&gt;COUNT(Dong1),"",OFFSET(TH!E$1,SMALL(Dong1,ROWS($1:19)),))</f>
        <v>41222</v>
      </c>
      <c r="C32" s="126" t="str">
        <f ca="1">IF(ROWS($1:19)&gt;COUNT(Dong1),"",IF(OFFSET(TH!L$1,SMALL(Dong1,ROWS($1:19)),)="1111",OFFSET(TH!D$1,SMALL(Dong1,ROWS($1:19)),),""))</f>
        <v>T02</v>
      </c>
      <c r="D32" s="127" t="str">
        <f ca="1">IF(ROWS($1:19)&gt;COUNT(Dong1),"",IF(OFFSET(TH!M$1,SMALL(Dong1,ROWS($1:19)),)="1111",OFFSET(TH!D$1,SMALL(Dong1,ROWS($1:19)),),""))</f>
        <v/>
      </c>
      <c r="E32" s="244" t="str">
        <f ca="1">IF(ROWS($1:19)&gt;COUNT(Dong1),"",OFFSET(TH!F$1,SMALL(Dong1,ROWS($1:19)),))</f>
        <v>Chi Sec nhập quỹ tiền mặt</v>
      </c>
      <c r="F32" s="129" t="str">
        <f ca="1">IF(ROWS($1:19)&gt;COUNT(Dong1),"",IF(OFFSET(TH!M$1,SMALL(Dong1,ROWS($1:19)),)="1111",OFFSET(TH!L$1,SMALL(Dong1,ROWS($1:19)),),OFFSET(TH!M$1,SMALL(Dong1,ROWS($1:19)),)))</f>
        <v>1121</v>
      </c>
      <c r="G32" s="130">
        <f ca="1">IF(ROWS($1:19)&gt;COUNT(Dong1),"",IF(OFFSET(TH!L$1,SMALL(Dong1,ROWS($1:19)),)="1111",OFFSET(TH!K$1,SMALL(Dong1,ROWS($1:19)),),0))</f>
        <v>19000000</v>
      </c>
      <c r="H32" s="128">
        <f ca="1">IF(ROWS($1:19)&gt;COUNT(Dong1),"",IF(OFFSET(TH!M$1,SMALL(Dong1,ROWS($1:19)),)="1111",OFFSET(TH!K$1,SMALL(Dong1,ROWS($1:19)),),0))</f>
        <v>0</v>
      </c>
      <c r="I32" s="126">
        <f t="shared" ca="1" si="0"/>
        <v>1839324054</v>
      </c>
      <c r="J32" s="131"/>
      <c r="N32" s="802"/>
      <c r="O32" s="802"/>
    </row>
    <row r="33" spans="1:15" ht="19.5" customHeight="1">
      <c r="A33" s="125">
        <f ca="1">IF(ROWS($1:20)&gt;COUNT(Dong1),"",OFFSET(TH!C$1,SMALL(Dong1,ROWS($1:20)),))</f>
        <v>41223</v>
      </c>
      <c r="B33" s="125">
        <f ca="1">IF(ROWS($1:20)&gt;COUNT(Dong1),"",OFFSET(TH!E$1,SMALL(Dong1,ROWS($1:20)),))</f>
        <v>41223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C11</v>
      </c>
      <c r="E33" s="244" t="str">
        <f ca="1">IF(ROWS($1:20)&gt;COUNT(Dong1),"",OFFSET(TH!F$1,SMALL(Dong1,ROWS($1:20)),))</f>
        <v>Mực in V-FLEX 8903 Blue, 8580 Blue, 6417 Green</v>
      </c>
      <c r="F33" s="129" t="str">
        <f ca="1">IF(ROWS($1:20)&gt;COUNT(Dong1),"",IF(OFFSET(TH!M$1,SMALL(Dong1,ROWS($1:20)),)="1111",OFFSET(TH!L$1,SMALL(Dong1,ROWS($1:20)),),OFFSET(TH!M$1,SMALL(Dong1,ROWS($1:20)),)))</f>
        <v>154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4580000</v>
      </c>
      <c r="I33" s="126">
        <f t="shared" ca="1" si="0"/>
        <v>1834744054</v>
      </c>
      <c r="J33" s="131"/>
      <c r="N33" s="802"/>
      <c r="O33" s="802"/>
    </row>
    <row r="34" spans="1:15" ht="19.5" customHeight="1">
      <c r="A34" s="125">
        <f ca="1">IF(ROWS($1:21)&gt;COUNT(Dong1),"",OFFSET(TH!C$1,SMALL(Dong1,ROWS($1:21)),))</f>
        <v>41223</v>
      </c>
      <c r="B34" s="125">
        <f ca="1">IF(ROWS($1:21)&gt;COUNT(Dong1),"",OFFSET(TH!E$1,SMALL(Dong1,ROWS($1:21)),))</f>
        <v>41223</v>
      </c>
      <c r="C34" s="126" t="str">
        <f ca="1">IF(ROWS($1:21)&gt;COUNT(Dong1),"",IF(OFFSET(TH!L$1,SMALL(Dong1,ROWS($1:21)),)="1111",OFFSET(TH!D$1,SMALL(Dong1,ROWS($1:21)),),""))</f>
        <v/>
      </c>
      <c r="D34" s="127" t="str">
        <f ca="1">IF(ROWS($1:21)&gt;COUNT(Dong1),"",IF(OFFSET(TH!M$1,SMALL(Dong1,ROWS($1:21)),)="1111",OFFSET(TH!D$1,SMALL(Dong1,ROWS($1:21)),),""))</f>
        <v>C11</v>
      </c>
      <c r="E34" s="244" t="str">
        <f ca="1">IF(ROWS($1:21)&gt;COUNT(Dong1),"",OFFSET(TH!F$1,SMALL(Dong1,ROWS($1:21)),))</f>
        <v>VAT Mực in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458000</v>
      </c>
      <c r="I34" s="126">
        <f t="shared" ca="1" si="0"/>
        <v>1834286054</v>
      </c>
      <c r="J34" s="131"/>
      <c r="N34" s="802"/>
      <c r="O34" s="802"/>
    </row>
    <row r="35" spans="1:15" ht="19.5" customHeight="1">
      <c r="A35" s="125">
        <f ca="1">IF(ROWS($1:22)&gt;COUNT(Dong1),"",OFFSET(TH!C$1,SMALL(Dong1,ROWS($1:22)),))</f>
        <v>41232</v>
      </c>
      <c r="B35" s="125">
        <f ca="1">IF(ROWS($1:22)&gt;COUNT(Dong1),"",OFFSET(TH!E$1,SMALL(Dong1,ROWS($1:22)),))</f>
        <v>41232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C12</v>
      </c>
      <c r="E35" s="244" t="str">
        <f ca="1">IF(ROWS($1:22)&gt;COUNT(Dong1),"",OFFSET(TH!F$1,SMALL(Dong1,ROWS($1:22)),))</f>
        <v>Mực in V-FLEX 8977 Blue</v>
      </c>
      <c r="F35" s="129" t="str">
        <f ca="1">IF(ROWS($1:22)&gt;COUNT(Dong1),"",IF(OFFSET(TH!M$1,SMALL(Dong1,ROWS($1:22)),)="1111",OFFSET(TH!L$1,SMALL(Dong1,ROWS($1:22)),),OFFSET(TH!M$1,SMALL(Dong1,ROWS($1:22)),)))</f>
        <v>154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1340000</v>
      </c>
      <c r="I35" s="126">
        <f t="shared" ca="1" si="0"/>
        <v>1832946054</v>
      </c>
      <c r="J35" s="131"/>
      <c r="N35" s="802"/>
      <c r="O35" s="802"/>
    </row>
    <row r="36" spans="1:15" ht="19.5" customHeight="1">
      <c r="A36" s="125">
        <f ca="1">IF(ROWS($1:23)&gt;COUNT(Dong1),"",OFFSET(TH!C$1,SMALL(Dong1,ROWS($1:23)),))</f>
        <v>41232</v>
      </c>
      <c r="B36" s="125">
        <f ca="1">IF(ROWS($1:23)&gt;COUNT(Dong1),"",OFFSET(TH!E$1,SMALL(Dong1,ROWS($1:23)),))</f>
        <v>41232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C12</v>
      </c>
      <c r="E36" s="244" t="str">
        <f ca="1">IF(ROWS($1:23)&gt;COUNT(Dong1),"",OFFSET(TH!F$1,SMALL(Dong1,ROWS($1:23)),))</f>
        <v>VAT Mực in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134000</v>
      </c>
      <c r="I36" s="126">
        <f t="shared" ca="1" si="0"/>
        <v>1832812054</v>
      </c>
      <c r="J36" s="131"/>
      <c r="N36" s="802"/>
      <c r="O36" s="802"/>
    </row>
    <row r="37" spans="1:15" ht="19.5" customHeight="1">
      <c r="A37" s="125">
        <f ca="1">IF(ROWS($1:24)&gt;COUNT(Dong1),"",OFFSET(TH!C$1,SMALL(Dong1,ROWS($1:24)),))</f>
        <v>41242</v>
      </c>
      <c r="B37" s="125">
        <f ca="1">IF(ROWS($1:24)&gt;COUNT(Dong1),"",OFFSET(TH!E$1,SMALL(Dong1,ROWS($1:24)),))</f>
        <v>41242</v>
      </c>
      <c r="C37" s="126" t="str">
        <f ca="1">IF(ROWS($1:24)&gt;COUNT(Dong1),"",IF(OFFSET(TH!L$1,SMALL(Dong1,ROWS($1:24)),)="1111",OFFSET(TH!D$1,SMALL(Dong1,ROWS($1:24)),),""))</f>
        <v>T03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9000000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1841812054</v>
      </c>
      <c r="J37" s="131"/>
      <c r="N37" s="802"/>
      <c r="O37" s="802"/>
    </row>
    <row r="38" spans="1:15" ht="19.5" customHeight="1">
      <c r="A38" s="125">
        <f ca="1">IF(ROWS($1:25)&gt;COUNT(Dong1),"",OFFSET(TH!C$1,SMALL(Dong1,ROWS($1:25)),))</f>
        <v>41246</v>
      </c>
      <c r="B38" s="125">
        <f ca="1">IF(ROWS($1:25)&gt;COUNT(Dong1),"",OFFSET(TH!E$1,SMALL(Dong1,ROWS($1:25)),))</f>
        <v>41246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C13</v>
      </c>
      <c r="E38" s="244" t="str">
        <f ca="1">IF(ROWS($1:25)&gt;COUNT(Dong1),"",OFFSET(TH!F$1,SMALL(Dong1,ROWS($1:25)),))</f>
        <v>Cước dịch vụ viễn thông TPHCM</v>
      </c>
      <c r="F38" s="129" t="str">
        <f ca="1">IF(ROWS($1:25)&gt;COUNT(Dong1),"",IF(OFFSET(TH!M$1,SMALL(Dong1,ROWS($1:25)),)="1111",OFFSET(TH!L$1,SMALL(Dong1,ROWS($1:25)),),OFFSET(TH!M$1,SMALL(Dong1,ROWS($1:25)),)))</f>
        <v>642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448464</v>
      </c>
      <c r="I38" s="126">
        <f t="shared" ca="1" si="0"/>
        <v>1841363590</v>
      </c>
      <c r="J38" s="131"/>
      <c r="N38" s="802"/>
      <c r="O38" s="802"/>
    </row>
    <row r="39" spans="1:15" ht="19.5" customHeight="1">
      <c r="A39" s="125">
        <f ca="1">IF(ROWS($1:26)&gt;COUNT(Dong1),"",OFFSET(TH!C$1,SMALL(Dong1,ROWS($1:26)),))</f>
        <v>41246</v>
      </c>
      <c r="B39" s="125">
        <f ca="1">IF(ROWS($1:26)&gt;COUNT(Dong1),"",OFFSET(TH!E$1,SMALL(Dong1,ROWS($1:26)),))</f>
        <v>41246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C13</v>
      </c>
      <c r="E39" s="244" t="str">
        <f ca="1">IF(ROWS($1:26)&gt;COUNT(Dong1),"",OFFSET(TH!F$1,SMALL(Dong1,ROWS($1:26)),))</f>
        <v>VAT Cước dịch vụ viễn thông TPHCM</v>
      </c>
      <c r="F39" s="129" t="str">
        <f ca="1">IF(ROWS($1:26)&gt;COUNT(Dong1),"",IF(OFFSET(TH!M$1,SMALL(Dong1,ROWS($1:26)),)="1111",OFFSET(TH!L$1,SMALL(Dong1,ROWS($1:26)),),OFFSET(TH!M$1,SMALL(Dong1,ROWS($1:26)),)))</f>
        <v>1331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44847</v>
      </c>
      <c r="I39" s="126">
        <f t="shared" ca="1" si="0"/>
        <v>1841318743</v>
      </c>
      <c r="J39" s="131"/>
      <c r="N39" s="802"/>
      <c r="O39" s="802"/>
    </row>
    <row r="40" spans="1:15" ht="19.5" customHeight="1">
      <c r="A40" s="125">
        <f ca="1">IF(ROWS($1:27)&gt;COUNT(Dong1),"",OFFSET(TH!C$1,SMALL(Dong1,ROWS($1:27)),))</f>
        <v>41247</v>
      </c>
      <c r="B40" s="125">
        <f ca="1">IF(ROWS($1:27)&gt;COUNT(Dong1),"",OFFSET(TH!E$1,SMALL(Dong1,ROWS($1:27)),))</f>
        <v>41247</v>
      </c>
      <c r="C40" s="126" t="str">
        <f ca="1">IF(ROWS($1:27)&gt;COUNT(Dong1),"",IF(OFFSET(TH!L$1,SMALL(Dong1,ROWS($1:27)),)="1111",OFFSET(TH!D$1,SMALL(Dong1,ROWS($1:27)),),""))</f>
        <v>T04</v>
      </c>
      <c r="D40" s="127" t="str">
        <f ca="1">IF(ROWS($1:27)&gt;COUNT(Dong1),"",IF(OFFSET(TH!M$1,SMALL(Dong1,ROWS($1:27)),)="1111",OFFSET(TH!D$1,SMALL(Dong1,ROWS($1:27)),),""))</f>
        <v/>
      </c>
      <c r="E40" s="244" t="str">
        <f ca="1">IF(ROWS($1:27)&gt;COUNT(Dong1),"",OFFSET(TH!F$1,SMALL(Dong1,ROWS($1:27)),))</f>
        <v>Chi Sec nhập quỹ tiền mặt</v>
      </c>
      <c r="F40" s="129" t="str">
        <f ca="1">IF(ROWS($1:27)&gt;COUNT(Dong1),"",IF(OFFSET(TH!M$1,SMALL(Dong1,ROWS($1:27)),)="1111",OFFSET(TH!L$1,SMALL(Dong1,ROWS($1:27)),),OFFSET(TH!M$1,SMALL(Dong1,ROWS($1:27)),)))</f>
        <v>1121</v>
      </c>
      <c r="G40" s="130">
        <f ca="1">IF(ROWS($1:27)&gt;COUNT(Dong1),"",IF(OFFSET(TH!L$1,SMALL(Dong1,ROWS($1:27)),)="1111",OFFSET(TH!K$1,SMALL(Dong1,ROWS($1:27)),),0))</f>
        <v>25000000</v>
      </c>
      <c r="H40" s="128">
        <f ca="1">IF(ROWS($1:27)&gt;COUNT(Dong1),"",IF(OFFSET(TH!M$1,SMALL(Dong1,ROWS($1:27)),)="1111",OFFSET(TH!K$1,SMALL(Dong1,ROWS($1:27)),),0))</f>
        <v>0</v>
      </c>
      <c r="I40" s="126">
        <f t="shared" ca="1" si="0"/>
        <v>1866318743</v>
      </c>
      <c r="J40" s="131"/>
      <c r="N40" s="802"/>
      <c r="O40" s="802"/>
    </row>
    <row r="41" spans="1:15" ht="19.5" customHeight="1">
      <c r="A41" s="125">
        <f ca="1">IF(ROWS($1:28)&gt;COUNT(Dong1),"",OFFSET(TH!C$1,SMALL(Dong1,ROWS($1:28)),))</f>
        <v>41256</v>
      </c>
      <c r="B41" s="125">
        <f ca="1">IF(ROWS($1:28)&gt;COUNT(Dong1),"",OFFSET(TH!E$1,SMALL(Dong1,ROWS($1:28)),))</f>
        <v>41256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C14</v>
      </c>
      <c r="E41" s="244" t="str">
        <f ca="1">IF(ROWS($1:28)&gt;COUNT(Dong1),"",OFFSET(TH!F$1,SMALL(Dong1,ROWS($1:28)),))</f>
        <v>Nộp tiền mặt vào tài khoản</v>
      </c>
      <c r="F41" s="129" t="str">
        <f ca="1">IF(ROWS($1:28)&gt;COUNT(Dong1),"",IF(OFFSET(TH!M$1,SMALL(Dong1,ROWS($1:28)),)="1111",OFFSET(TH!L$1,SMALL(Dong1,ROWS($1:28)),),OFFSET(TH!M$1,SMALL(Dong1,ROWS($1:28)),)))</f>
        <v>1121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35000000</v>
      </c>
      <c r="I41" s="126">
        <f t="shared" ca="1" si="0"/>
        <v>1831318743</v>
      </c>
      <c r="J41" s="131"/>
      <c r="N41" s="802"/>
      <c r="O41" s="802"/>
    </row>
    <row r="42" spans="1:15" ht="19.5" customHeight="1">
      <c r="A42" s="125">
        <f ca="1">IF(ROWS($1:29)&gt;COUNT(Dong1),"",OFFSET(TH!C$1,SMALL(Dong1,ROWS($1:29)),))</f>
        <v>41258</v>
      </c>
      <c r="B42" s="125">
        <f ca="1">IF(ROWS($1:29)&gt;COUNT(Dong1),"",OFFSET(TH!E$1,SMALL(Dong1,ROWS($1:29)),))</f>
        <v>41258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C15</v>
      </c>
      <c r="E42" s="244" t="str">
        <f ca="1">IF(ROWS($1:29)&gt;COUNT(Dong1),"",OFFSET(TH!F$1,SMALL(Dong1,ROWS($1:29)),))</f>
        <v>Cước dịch vụ thông tin di động</v>
      </c>
      <c r="F42" s="129" t="str">
        <f ca="1">IF(ROWS($1:29)&gt;COUNT(Dong1),"",IF(OFFSET(TH!M$1,SMALL(Dong1,ROWS($1:29)),)="1111",OFFSET(TH!L$1,SMALL(Dong1,ROWS($1:29)),),OFFSET(TH!M$1,SMALL(Dong1,ROWS($1:29)),)))</f>
        <v>642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1866196</v>
      </c>
      <c r="I42" s="126">
        <f t="shared" ca="1" si="0"/>
        <v>1829452547</v>
      </c>
      <c r="J42" s="131"/>
      <c r="N42" s="802"/>
      <c r="O42" s="802"/>
    </row>
    <row r="43" spans="1:15" ht="19.5" customHeight="1">
      <c r="A43" s="125">
        <f ca="1">IF(ROWS($1:30)&gt;COUNT(Dong1),"",OFFSET(TH!C$1,SMALL(Dong1,ROWS($1:30)),))</f>
        <v>41258</v>
      </c>
      <c r="B43" s="125">
        <f ca="1">IF(ROWS($1:30)&gt;COUNT(Dong1),"",OFFSET(TH!E$1,SMALL(Dong1,ROWS($1:30)),))</f>
        <v>41258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C15</v>
      </c>
      <c r="E43" s="244" t="str">
        <f ca="1">IF(ROWS($1:30)&gt;COUNT(Dong1),"",OFFSET(TH!F$1,SMALL(Dong1,ROWS($1:30)),))</f>
        <v>VAT Cước dịch vụ thông tin di động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186619</v>
      </c>
      <c r="I43" s="126">
        <f t="shared" ca="1" si="0"/>
        <v>1829265928</v>
      </c>
      <c r="J43" s="131"/>
      <c r="N43" s="802"/>
      <c r="O43" s="802"/>
    </row>
    <row r="44" spans="1:15" ht="19.5" customHeight="1">
      <c r="A44" s="125">
        <f ca="1">IF(ROWS($1:31)&gt;COUNT(Dong1),"",OFFSET(TH!C$1,SMALL(Dong1,ROWS($1:31)),))</f>
        <v>41267</v>
      </c>
      <c r="B44" s="125">
        <f ca="1">IF(ROWS($1:31)&gt;COUNT(Dong1),"",OFFSET(TH!E$1,SMALL(Dong1,ROWS($1:31)),))</f>
        <v>41267</v>
      </c>
      <c r="C44" s="126" t="str">
        <f ca="1">IF(ROWS($1:31)&gt;COUNT(Dong1),"",IF(OFFSET(TH!L$1,SMALL(Dong1,ROWS($1:31)),)="1111",OFFSET(TH!D$1,SMALL(Dong1,ROWS($1:31)),),""))</f>
        <v/>
      </c>
      <c r="D44" s="127" t="str">
        <f ca="1">IF(ROWS($1:31)&gt;COUNT(Dong1),"",IF(OFFSET(TH!M$1,SMALL(Dong1,ROWS($1:31)),)="1111",OFFSET(TH!D$1,SMALL(Dong1,ROWS($1:31)),),""))</f>
        <v>C16</v>
      </c>
      <c r="E44" s="244" t="str">
        <f ca="1">IF(ROWS($1:31)&gt;COUNT(Dong1),"",OFFSET(TH!F$1,SMALL(Dong1,ROWS($1:31)),))</f>
        <v>Mực in V-FLEX 6412 Red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2600000</v>
      </c>
      <c r="I44" s="126">
        <f t="shared" ca="1" si="0"/>
        <v>1826665928</v>
      </c>
      <c r="J44" s="131"/>
      <c r="N44" s="802"/>
      <c r="O44" s="802"/>
    </row>
    <row r="45" spans="1:15" ht="19.5" customHeight="1">
      <c r="A45" s="125">
        <f ca="1">IF(ROWS($1:32)&gt;COUNT(Dong1),"",OFFSET(TH!C$1,SMALL(Dong1,ROWS($1:32)),))</f>
        <v>41267</v>
      </c>
      <c r="B45" s="125">
        <f ca="1">IF(ROWS($1:32)&gt;COUNT(Dong1),"",OFFSET(TH!E$1,SMALL(Dong1,ROWS($1:32)),))</f>
        <v>41267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C16</v>
      </c>
      <c r="E45" s="244" t="str">
        <f ca="1">IF(ROWS($1:32)&gt;COUNT(Dong1),"",OFFSET(TH!F$1,SMALL(Dong1,ROWS($1:32)),))</f>
        <v>VAT Mực in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260000</v>
      </c>
      <c r="I45" s="126">
        <f t="shared" ca="1" si="0"/>
        <v>1826405928</v>
      </c>
      <c r="J45" s="131"/>
      <c r="N45" s="802"/>
      <c r="O45" s="802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C17</v>
      </c>
      <c r="E46" s="244" t="str">
        <f ca="1">IF(ROWS($1:33)&gt;COUNT(Dong1),"",OFFSET(TH!F$1,SMALL(Dong1,ROWS($1:33)),))</f>
        <v>Nộp tiền mặt vào tài khoản</v>
      </c>
      <c r="F46" s="129" t="str">
        <f ca="1">IF(ROWS($1:33)&gt;COUNT(Dong1),"",IF(OFFSET(TH!M$1,SMALL(Dong1,ROWS($1:33)),)="1111",OFFSET(TH!L$1,SMALL(Dong1,ROWS($1:33)),),OFFSET(TH!M$1,SMALL(Dong1,ROWS($1:33)),)))</f>
        <v>1121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6000000</v>
      </c>
      <c r="I46" s="126">
        <f t="shared" ca="1" si="0"/>
        <v>1820405928</v>
      </c>
      <c r="J46" s="131"/>
      <c r="N46" s="802"/>
      <c r="O46" s="802"/>
    </row>
    <row r="47" spans="1:15" ht="19.5" customHeight="1">
      <c r="A47" s="125">
        <f ca="1">IF(ROWS($1:34)&gt;COUNT(Dong1),"",OFFSET(TH!C$1,SMALL(Dong1,ROWS($1:34)),))</f>
        <v>41268</v>
      </c>
      <c r="B47" s="125">
        <f ca="1">IF(ROWS($1:34)&gt;COUNT(Dong1),"",OFFSET(TH!E$1,SMALL(Dong1,ROWS($1:34)),))</f>
        <v>41268</v>
      </c>
      <c r="C47" s="126" t="str">
        <f ca="1">IF(ROWS($1:34)&gt;COUNT(Dong1),"",IF(OFFSET(TH!L$1,SMALL(Dong1,ROWS($1:34)),)="1111",OFFSET(TH!D$1,SMALL(Dong1,ROWS($1:34)),),""))</f>
        <v>T05</v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>Chi Sec nhập quỹ tiền mặt</v>
      </c>
      <c r="F47" s="129" t="str">
        <f ca="1">IF(ROWS($1:34)&gt;COUNT(Dong1),"",IF(OFFSET(TH!M$1,SMALL(Dong1,ROWS($1:34)),)="1111",OFFSET(TH!L$1,SMALL(Dong1,ROWS($1:34)),),OFFSET(TH!M$1,SMALL(Dong1,ROWS($1:34)),)))</f>
        <v>1121</v>
      </c>
      <c r="G47" s="130">
        <f ca="1">IF(ROWS($1:34)&gt;COUNT(Dong1),"",IF(OFFSET(TH!L$1,SMALL(Dong1,ROWS($1:34)),)="1111",OFFSET(TH!K$1,SMALL(Dong1,ROWS($1:34)),),0))</f>
        <v>38500000</v>
      </c>
      <c r="H47" s="128">
        <f ca="1">IF(ROWS($1:34)&gt;COUNT(Dong1),"",IF(OFFSET(TH!M$1,SMALL(Dong1,ROWS($1:34)),)="1111",OFFSET(TH!K$1,SMALL(Dong1,ROWS($1:34)),),0))</f>
        <v>0</v>
      </c>
      <c r="I47" s="126">
        <f t="shared" ca="1" si="0"/>
        <v>1858905928</v>
      </c>
      <c r="J47" s="131"/>
      <c r="N47" s="802"/>
      <c r="O47" s="802"/>
    </row>
    <row r="48" spans="1:15" ht="19.5" customHeight="1">
      <c r="A48" s="125">
        <f ca="1">IF(ROWS($1:35)&gt;COUNT(Dong1),"",OFFSET(TH!C$1,SMALL(Dong1,ROWS($1:35)),))</f>
        <v>41268</v>
      </c>
      <c r="B48" s="125">
        <f ca="1">IF(ROWS($1:35)&gt;COUNT(Dong1),"",OFFSET(TH!E$1,SMALL(Dong1,ROWS($1:35)),))</f>
        <v>41268</v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>C18</v>
      </c>
      <c r="E48" s="244" t="str">
        <f ca="1">IF(ROWS($1:35)&gt;COUNT(Dong1),"",OFFSET(TH!F$1,SMALL(Dong1,ROWS($1:35)),))</f>
        <v>Dao dĩa</v>
      </c>
      <c r="F48" s="129" t="str">
        <f ca="1">IF(ROWS($1:35)&gt;COUNT(Dong1),"",IF(OFFSET(TH!M$1,SMALL(Dong1,ROWS($1:35)),)="1111",OFFSET(TH!L$1,SMALL(Dong1,ROWS($1:35)),),OFFSET(TH!M$1,SMALL(Dong1,ROWS($1:35)),)))</f>
        <v>142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1400000</v>
      </c>
      <c r="I48" s="126">
        <f t="shared" ca="1" si="0"/>
        <v>1857505928</v>
      </c>
      <c r="J48" s="131"/>
      <c r="N48" s="802"/>
      <c r="O48" s="802"/>
    </row>
    <row r="49" spans="1:15" ht="19.5" customHeight="1">
      <c r="A49" s="125">
        <f ca="1">IF(ROWS($1:36)&gt;COUNT(Dong1),"",OFFSET(TH!C$1,SMALL(Dong1,ROWS($1:36)),))</f>
        <v>41268</v>
      </c>
      <c r="B49" s="125">
        <f ca="1">IF(ROWS($1:36)&gt;COUNT(Dong1),"",OFFSET(TH!E$1,SMALL(Dong1,ROWS($1:36)),))</f>
        <v>41268</v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>C18</v>
      </c>
      <c r="E49" s="244" t="str">
        <f ca="1">IF(ROWS($1:36)&gt;COUNT(Dong1),"",OFFSET(TH!F$1,SMALL(Dong1,ROWS($1:36)),))</f>
        <v>VAT Dao dĩa</v>
      </c>
      <c r="F49" s="129" t="str">
        <f ca="1">IF(ROWS($1:36)&gt;COUNT(Dong1),"",IF(OFFSET(TH!M$1,SMALL(Dong1,ROWS($1:36)),)="1111",OFFSET(TH!L$1,SMALL(Dong1,ROWS($1:36)),),OFFSET(TH!M$1,SMALL(Dong1,ROWS($1:36)),)))</f>
        <v>1331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140000</v>
      </c>
      <c r="I49" s="126">
        <f t="shared" ca="1" si="0"/>
        <v>1857365928</v>
      </c>
      <c r="J49" s="131"/>
      <c r="N49" s="802"/>
      <c r="O49" s="802"/>
    </row>
    <row r="50" spans="1:15" ht="19.5" customHeight="1">
      <c r="A50" s="125">
        <f ca="1">IF(ROWS($1:37)&gt;COUNT(Dong1),"",OFFSET(TH!C$1,SMALL(Dong1,ROWS($1:37)),))</f>
        <v>41194</v>
      </c>
      <c r="B50" s="125">
        <f ca="1">IF(ROWS($1:37)&gt;COUNT(Dong1),"",OFFSET(TH!E$1,SMALL(Dong1,ROWS($1:37)),))</f>
        <v>41194</v>
      </c>
      <c r="C50" s="126">
        <f ca="1">IF(ROWS($1:37)&gt;COUNT(Dong1),"",IF(OFFSET(TH!L$1,SMALL(Dong1,ROWS($1:37)),)="1111",OFFSET(TH!D$1,SMALL(Dong1,ROWS($1:37)),),""))</f>
        <v>0</v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>Thùng bột ớt(45,5x36,5x19)</v>
      </c>
      <c r="F50" s="129" t="str">
        <f ca="1">IF(ROWS($1:37)&gt;COUNT(Dong1),"",IF(OFFSET(TH!M$1,SMALL(Dong1,ROWS($1:37)),)="1111",OFFSET(TH!L$1,SMALL(Dong1,ROWS($1:37)),),OFFSET(TH!M$1,SMALL(Dong1,ROWS($1:37)),)))</f>
        <v>5112</v>
      </c>
      <c r="G50" s="130">
        <f ca="1">IF(ROWS($1:37)&gt;COUNT(Dong1),"",IF(OFFSET(TH!L$1,SMALL(Dong1,ROWS($1:37)),)="1111",OFFSET(TH!K$1,SMALL(Dong1,ROWS($1:37)),),0))</f>
        <v>5500000</v>
      </c>
      <c r="H50" s="128">
        <f ca="1">IF(ROWS($1:37)&gt;COUNT(Dong1),"",IF(OFFSET(TH!M$1,SMALL(Dong1,ROWS($1:37)),)="1111",OFFSET(TH!K$1,SMALL(Dong1,ROWS($1:37)),),0))</f>
        <v>0</v>
      </c>
      <c r="I50" s="126">
        <f t="shared" ca="1" si="0"/>
        <v>1862865928</v>
      </c>
      <c r="J50" s="131"/>
    </row>
    <row r="51" spans="1:15" ht="19.5" customHeight="1">
      <c r="A51" s="125">
        <f ca="1">IF(ROWS($1:38)&gt;COUNT(Dong1),"",OFFSET(TH!C$1,SMALL(Dong1,ROWS($1:38)),))</f>
        <v>41194</v>
      </c>
      <c r="B51" s="125">
        <f ca="1">IF(ROWS($1:38)&gt;COUNT(Dong1),"",OFFSET(TH!E$1,SMALL(Dong1,ROWS($1:38)),))</f>
        <v>41194</v>
      </c>
      <c r="C51" s="126">
        <f ca="1">IF(ROWS($1:38)&gt;COUNT(Dong1),"",IF(OFFSET(TH!L$1,SMALL(Dong1,ROWS($1:38)),)="1111",OFFSET(TH!D$1,SMALL(Dong1,ROWS($1:38)),),""))</f>
        <v>0</v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>Thùng bột tỏi (46,5x29,6x14)</v>
      </c>
      <c r="F51" s="129" t="str">
        <f ca="1">IF(ROWS($1:38)&gt;COUNT(Dong1),"",IF(OFFSET(TH!M$1,SMALL(Dong1,ROWS($1:38)),)="1111",OFFSET(TH!L$1,SMALL(Dong1,ROWS($1:38)),),OFFSET(TH!M$1,SMALL(Dong1,ROWS($1:38)),)))</f>
        <v>5112</v>
      </c>
      <c r="G51" s="130">
        <f ca="1">IF(ROWS($1:38)&gt;COUNT(Dong1),"",IF(OFFSET(TH!L$1,SMALL(Dong1,ROWS($1:38)),)="1111",OFFSET(TH!K$1,SMALL(Dong1,ROWS($1:38)),),0))</f>
        <v>4064000</v>
      </c>
      <c r="H51" s="128">
        <f ca="1">IF(ROWS($1:38)&gt;COUNT(Dong1),"",IF(OFFSET(TH!M$1,SMALL(Dong1,ROWS($1:38)),)="1111",OFFSET(TH!K$1,SMALL(Dong1,ROWS($1:38)),),0))</f>
        <v>0</v>
      </c>
      <c r="I51" s="126">
        <f t="shared" ca="1" si="0"/>
        <v>1866929928</v>
      </c>
      <c r="J51" s="131"/>
    </row>
    <row r="52" spans="1:15" ht="19.5" customHeight="1">
      <c r="A52" s="125">
        <f ca="1">IF(ROWS($1:39)&gt;COUNT(Dong1),"",OFFSET(TH!C$1,SMALL(Dong1,ROWS($1:39)),))</f>
        <v>41194</v>
      </c>
      <c r="B52" s="125">
        <f ca="1">IF(ROWS($1:39)&gt;COUNT(Dong1),"",OFFSET(TH!E$1,SMALL(Dong1,ROWS($1:39)),))</f>
        <v>41194</v>
      </c>
      <c r="C52" s="126">
        <f ca="1">IF(ROWS($1:39)&gt;COUNT(Dong1),"",IF(OFFSET(TH!L$1,SMALL(Dong1,ROWS($1:39)),)="1111",OFFSET(TH!D$1,SMALL(Dong1,ROWS($1:39)),),""))</f>
        <v>0</v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>VAT thùng</v>
      </c>
      <c r="F52" s="129" t="str">
        <f ca="1">IF(ROWS($1:39)&gt;COUNT(Dong1),"",IF(OFFSET(TH!M$1,SMALL(Dong1,ROWS($1:39)),)="1111",OFFSET(TH!L$1,SMALL(Dong1,ROWS($1:39)),),OFFSET(TH!M$1,SMALL(Dong1,ROWS($1:39)),)))</f>
        <v>3331</v>
      </c>
      <c r="G52" s="130">
        <f ca="1">IF(ROWS($1:39)&gt;COUNT(Dong1),"",IF(OFFSET(TH!L$1,SMALL(Dong1,ROWS($1:39)),)="1111",OFFSET(TH!K$1,SMALL(Dong1,ROWS($1:39)),),0))</f>
        <v>956400</v>
      </c>
      <c r="H52" s="128">
        <f ca="1">IF(ROWS($1:39)&gt;COUNT(Dong1),"",IF(OFFSET(TH!M$1,SMALL(Dong1,ROWS($1:39)),)="1111",OFFSET(TH!K$1,SMALL(Dong1,ROWS($1:39)),),0))</f>
        <v>0</v>
      </c>
      <c r="I52" s="126">
        <f t="shared" ca="1" si="0"/>
        <v>1867886328</v>
      </c>
      <c r="J52" s="131"/>
    </row>
    <row r="53" spans="1:15" ht="19.5" customHeight="1">
      <c r="A53" s="125">
        <f ca="1">IF(ROWS($1:40)&gt;COUNT(Dong1),"",OFFSET(TH!C$1,SMALL(Dong1,ROWS($1:40)),))</f>
        <v>41198</v>
      </c>
      <c r="B53" s="125">
        <f ca="1">IF(ROWS($1:40)&gt;COUNT(Dong1),"",OFFSET(TH!E$1,SMALL(Dong1,ROWS($1:40)),))</f>
        <v>41198</v>
      </c>
      <c r="C53" s="126">
        <f ca="1">IF(ROWS($1:40)&gt;COUNT(Dong1),"",IF(OFFSET(TH!L$1,SMALL(Dong1,ROWS($1:40)),)="1111",OFFSET(TH!D$1,SMALL(Dong1,ROWS($1:40)),),""))</f>
        <v>0</v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>Thùng gia vị các loại (48,5x29,5x14)</v>
      </c>
      <c r="F53" s="129" t="str">
        <f ca="1">IF(ROWS($1:40)&gt;COUNT(Dong1),"",IF(OFFSET(TH!M$1,SMALL(Dong1,ROWS($1:40)),)="1111",OFFSET(TH!L$1,SMALL(Dong1,ROWS($1:40)),),OFFSET(TH!M$1,SMALL(Dong1,ROWS($1:40)),)))</f>
        <v>5112</v>
      </c>
      <c r="G53" s="130">
        <f ca="1">IF(ROWS($1:40)&gt;COUNT(Dong1),"",IF(OFFSET(TH!L$1,SMALL(Dong1,ROWS($1:40)),)="1111",OFFSET(TH!K$1,SMALL(Dong1,ROWS($1:40)),),0))</f>
        <v>3960000</v>
      </c>
      <c r="H53" s="128">
        <f ca="1">IF(ROWS($1:40)&gt;COUNT(Dong1),"",IF(OFFSET(TH!M$1,SMALL(Dong1,ROWS($1:40)),)="1111",OFFSET(TH!K$1,SMALL(Dong1,ROWS($1:40)),),0))</f>
        <v>0</v>
      </c>
      <c r="I53" s="126">
        <f t="shared" ca="1" si="0"/>
        <v>1871846328</v>
      </c>
      <c r="J53" s="131"/>
    </row>
    <row r="54" spans="1:15" ht="19.5" customHeight="1">
      <c r="A54" s="125">
        <f ca="1">IF(ROWS($1:41)&gt;COUNT(Dong1),"",OFFSET(TH!C$1,SMALL(Dong1,ROWS($1:41)),))</f>
        <v>41198</v>
      </c>
      <c r="B54" s="125">
        <f ca="1">IF(ROWS($1:41)&gt;COUNT(Dong1),"",OFFSET(TH!E$1,SMALL(Dong1,ROWS($1:41)),))</f>
        <v>41198</v>
      </c>
      <c r="C54" s="126">
        <f ca="1">IF(ROWS($1:41)&gt;COUNT(Dong1),"",IF(OFFSET(TH!L$1,SMALL(Dong1,ROWS($1:41)),)="1111",OFFSET(TH!D$1,SMALL(Dong1,ROWS($1:41)),),""))</f>
        <v>0</v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>VAT thùng</v>
      </c>
      <c r="F54" s="129" t="str">
        <f ca="1">IF(ROWS($1:41)&gt;COUNT(Dong1),"",IF(OFFSET(TH!M$1,SMALL(Dong1,ROWS($1:41)),)="1111",OFFSET(TH!L$1,SMALL(Dong1,ROWS($1:41)),),OFFSET(TH!M$1,SMALL(Dong1,ROWS($1:41)),)))</f>
        <v>3331</v>
      </c>
      <c r="G54" s="130">
        <f ca="1">IF(ROWS($1:41)&gt;COUNT(Dong1),"",IF(OFFSET(TH!L$1,SMALL(Dong1,ROWS($1:41)),)="1111",OFFSET(TH!K$1,SMALL(Dong1,ROWS($1:41)),),0))</f>
        <v>396000</v>
      </c>
      <c r="H54" s="128">
        <f ca="1">IF(ROWS($1:41)&gt;COUNT(Dong1),"",IF(OFFSET(TH!M$1,SMALL(Dong1,ROWS($1:41)),)="1111",OFFSET(TH!K$1,SMALL(Dong1,ROWS($1:41)),),0))</f>
        <v>0</v>
      </c>
      <c r="I54" s="126">
        <f t="shared" ca="1" si="0"/>
        <v>1872242328</v>
      </c>
      <c r="J54" s="131"/>
    </row>
    <row r="55" spans="1:15" ht="19.5" customHeight="1">
      <c r="A55" s="125">
        <f ca="1">IF(ROWS($1:42)&gt;COUNT(Dong1),"",OFFSET(TH!C$1,SMALL(Dong1,ROWS($1:42)),))</f>
        <v>41199</v>
      </c>
      <c r="B55" s="125">
        <f ca="1">IF(ROWS($1:42)&gt;COUNT(Dong1),"",OFFSET(TH!E$1,SMALL(Dong1,ROWS($1:42)),))</f>
        <v>41199</v>
      </c>
      <c r="C55" s="126">
        <f ca="1">IF(ROWS($1:42)&gt;COUNT(Dong1),"",IF(OFFSET(TH!L$1,SMALL(Dong1,ROWS($1:42)),)="1111",OFFSET(TH!D$1,SMALL(Dong1,ROWS($1:42)),),""))</f>
        <v>0</v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>Thùng bột ớt(45,5x36,5x19)</v>
      </c>
      <c r="F55" s="129" t="str">
        <f ca="1">IF(ROWS($1:42)&gt;COUNT(Dong1),"",IF(OFFSET(TH!M$1,SMALL(Dong1,ROWS($1:42)),)="1111",OFFSET(TH!L$1,SMALL(Dong1,ROWS($1:42)),),OFFSET(TH!M$1,SMALL(Dong1,ROWS($1:42)),)))</f>
        <v>5112</v>
      </c>
      <c r="G55" s="130">
        <f ca="1">IF(ROWS($1:42)&gt;COUNT(Dong1),"",IF(OFFSET(TH!L$1,SMALL(Dong1,ROWS($1:42)),)="1111",OFFSET(TH!K$1,SMALL(Dong1,ROWS($1:42)),),0))</f>
        <v>5379000</v>
      </c>
      <c r="H55" s="128">
        <f ca="1">IF(ROWS($1:42)&gt;COUNT(Dong1),"",IF(OFFSET(TH!M$1,SMALL(Dong1,ROWS($1:42)),)="1111",OFFSET(TH!K$1,SMALL(Dong1,ROWS($1:42)),),0))</f>
        <v>0</v>
      </c>
      <c r="I55" s="126">
        <f t="shared" ca="1" si="0"/>
        <v>1877621328</v>
      </c>
      <c r="J55" s="131"/>
    </row>
    <row r="56" spans="1:15" ht="19.5" customHeight="1">
      <c r="A56" s="125">
        <f ca="1">IF(ROWS($1:43)&gt;COUNT(Dong1),"",OFFSET(TH!C$1,SMALL(Dong1,ROWS($1:43)),))</f>
        <v>41199</v>
      </c>
      <c r="B56" s="125">
        <f ca="1">IF(ROWS($1:43)&gt;COUNT(Dong1),"",OFFSET(TH!E$1,SMALL(Dong1,ROWS($1:43)),))</f>
        <v>41199</v>
      </c>
      <c r="C56" s="126">
        <f ca="1">IF(ROWS($1:43)&gt;COUNT(Dong1),"",IF(OFFSET(TH!L$1,SMALL(Dong1,ROWS($1:43)),)="1111",OFFSET(TH!D$1,SMALL(Dong1,ROWS($1:43)),),""))</f>
        <v>0</v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>Thùng bột tỏi(46,5x29,5x14)</v>
      </c>
      <c r="F56" s="129" t="str">
        <f ca="1">IF(ROWS($1:43)&gt;COUNT(Dong1),"",IF(OFFSET(TH!M$1,SMALL(Dong1,ROWS($1:43)),)="1111",OFFSET(TH!L$1,SMALL(Dong1,ROWS($1:43)),),OFFSET(TH!M$1,SMALL(Dong1,ROWS($1:43)),)))</f>
        <v>5112</v>
      </c>
      <c r="G56" s="130">
        <f ca="1">IF(ROWS($1:43)&gt;COUNT(Dong1),"",IF(OFFSET(TH!L$1,SMALL(Dong1,ROWS($1:43)),)="1111",OFFSET(TH!K$1,SMALL(Dong1,ROWS($1:43)),),0))</f>
        <v>3920000</v>
      </c>
      <c r="H56" s="128">
        <f ca="1">IF(ROWS($1:43)&gt;COUNT(Dong1),"",IF(OFFSET(TH!M$1,SMALL(Dong1,ROWS($1:43)),)="1111",OFFSET(TH!K$1,SMALL(Dong1,ROWS($1:43)),),0))</f>
        <v>0</v>
      </c>
      <c r="I56" s="126">
        <f t="shared" ca="1" si="0"/>
        <v>1881541328</v>
      </c>
      <c r="J56" s="131"/>
    </row>
    <row r="57" spans="1:15" ht="19.5" customHeight="1">
      <c r="A57" s="125">
        <f ca="1">IF(ROWS($1:44)&gt;COUNT(Dong1),"",OFFSET(TH!C$1,SMALL(Dong1,ROWS($1:44)),))</f>
        <v>41199</v>
      </c>
      <c r="B57" s="125">
        <f ca="1">IF(ROWS($1:44)&gt;COUNT(Dong1),"",OFFSET(TH!E$1,SMALL(Dong1,ROWS($1:44)),))</f>
        <v>41199</v>
      </c>
      <c r="C57" s="126">
        <f ca="1">IF(ROWS($1:44)&gt;COUNT(Dong1),"",IF(OFFSET(TH!L$1,SMALL(Dong1,ROWS($1:44)),)="1111",OFFSET(TH!D$1,SMALL(Dong1,ROWS($1:44)),),""))</f>
        <v>0</v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>VAT thùng</v>
      </c>
      <c r="F57" s="129" t="str">
        <f ca="1">IF(ROWS($1:44)&gt;COUNT(Dong1),"",IF(OFFSET(TH!M$1,SMALL(Dong1,ROWS($1:44)),)="1111",OFFSET(TH!L$1,SMALL(Dong1,ROWS($1:44)),),OFFSET(TH!M$1,SMALL(Dong1,ROWS($1:44)),)))</f>
        <v>3331</v>
      </c>
      <c r="G57" s="130">
        <f ca="1">IF(ROWS($1:44)&gt;COUNT(Dong1),"",IF(OFFSET(TH!L$1,SMALL(Dong1,ROWS($1:44)),)="1111",OFFSET(TH!K$1,SMALL(Dong1,ROWS($1:44)),),0))</f>
        <v>929900</v>
      </c>
      <c r="H57" s="128">
        <f ca="1">IF(ROWS($1:44)&gt;COUNT(Dong1),"",IF(OFFSET(TH!M$1,SMALL(Dong1,ROWS($1:44)),)="1111",OFFSET(TH!K$1,SMALL(Dong1,ROWS($1:44)),),0))</f>
        <v>0</v>
      </c>
      <c r="I57" s="126">
        <f t="shared" ca="1" si="0"/>
        <v>1882471228</v>
      </c>
      <c r="J57" s="131"/>
    </row>
    <row r="58" spans="1:15" ht="19.5" customHeight="1">
      <c r="A58" s="125">
        <f ca="1">IF(ROWS($1:45)&gt;COUNT(Dong1),"",OFFSET(TH!C$1,SMALL(Dong1,ROWS($1:45)),))</f>
        <v>41199</v>
      </c>
      <c r="B58" s="125">
        <f ca="1">IF(ROWS($1:45)&gt;COUNT(Dong1),"",OFFSET(TH!E$1,SMALL(Dong1,ROWS($1:45)),))</f>
        <v>41199</v>
      </c>
      <c r="C58" s="126">
        <f ca="1">IF(ROWS($1:45)&gt;COUNT(Dong1),"",IF(OFFSET(TH!L$1,SMALL(Dong1,ROWS($1:45)),)="1111",OFFSET(TH!D$1,SMALL(Dong1,ROWS($1:45)),),""))</f>
        <v>0</v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>Thùng (40,5x26x12)</v>
      </c>
      <c r="F58" s="129" t="str">
        <f ca="1">IF(ROWS($1:45)&gt;COUNT(Dong1),"",IF(OFFSET(TH!M$1,SMALL(Dong1,ROWS($1:45)),)="1111",OFFSET(TH!L$1,SMALL(Dong1,ROWS($1:45)),),OFFSET(TH!M$1,SMALL(Dong1,ROWS($1:45)),)))</f>
        <v>5112</v>
      </c>
      <c r="G58" s="130">
        <f ca="1">IF(ROWS($1:45)&gt;COUNT(Dong1),"",IF(OFFSET(TH!L$1,SMALL(Dong1,ROWS($1:45)),)="1111",OFFSET(TH!K$1,SMALL(Dong1,ROWS($1:45)),),0))</f>
        <v>698010</v>
      </c>
      <c r="H58" s="128">
        <f ca="1">IF(ROWS($1:45)&gt;COUNT(Dong1),"",IF(OFFSET(TH!M$1,SMALL(Dong1,ROWS($1:45)),)="1111",OFFSET(TH!K$1,SMALL(Dong1,ROWS($1:45)),),0))</f>
        <v>0</v>
      </c>
      <c r="I58" s="126">
        <f t="shared" ca="1" si="0"/>
        <v>1883169238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166303310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1883169238</v>
      </c>
      <c r="J61" s="137" t="s">
        <v>19</v>
      </c>
    </row>
    <row r="62" spans="1:15">
      <c r="L62" s="269" t="s">
        <v>173</v>
      </c>
    </row>
    <row r="63" spans="1:15">
      <c r="A63" s="139" t="s">
        <v>169</v>
      </c>
      <c r="L63" s="269" t="s">
        <v>174</v>
      </c>
    </row>
    <row r="64" spans="1:15">
      <c r="A64" s="187" t="str">
        <f ca="1">"- Ngày mở sổ: "&amp;DAY($A$14)&amp;"/"&amp;MONTH($A$14)&amp;"/ " &amp;YEAR($A$14)</f>
        <v>- Ngày mở sổ: 31/10/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169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167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583"/>
      <c r="R3" s="209"/>
      <c r="S3" s="210" t="s">
        <v>418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584"/>
      <c r="R4" s="84"/>
      <c r="S4" s="720">
        <v>4</v>
      </c>
      <c r="T4" s="84"/>
      <c r="U4" s="585" t="s">
        <v>4</v>
      </c>
      <c r="V4" s="110"/>
      <c r="W4" s="586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583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167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0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170</v>
      </c>
      <c r="H1" s="691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171</v>
      </c>
      <c r="H2" s="692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172</v>
      </c>
      <c r="H3" s="692"/>
      <c r="I3" s="247"/>
    </row>
    <row r="4" spans="1:20" s="145" customFormat="1" ht="19.5" customHeight="1">
      <c r="A4" s="985" t="s">
        <v>144</v>
      </c>
      <c r="B4" s="985"/>
      <c r="C4" s="985"/>
      <c r="D4" s="985"/>
      <c r="E4" s="985"/>
      <c r="F4" s="985"/>
      <c r="G4" s="985"/>
      <c r="H4" s="985"/>
      <c r="I4" s="985"/>
    </row>
    <row r="5" spans="1:20" s="145" customFormat="1" ht="15">
      <c r="A5" s="986" t="str">
        <f>"Nơi mở tài khoản giao dịch:  "&amp;IF($M$9="ACB"," Ngân Hàng ACB"," Ngân Hàng Eximbank - Chi Nhánh Chợ Lớn")</f>
        <v>Nơi mở tài khoản giao dịch:   Ngân Hàng ACB</v>
      </c>
      <c r="B5" s="986"/>
      <c r="C5" s="986"/>
      <c r="D5" s="986"/>
      <c r="E5" s="986"/>
      <c r="F5" s="986"/>
      <c r="G5" s="986"/>
      <c r="H5" s="986"/>
      <c r="I5" s="986"/>
    </row>
    <row r="6" spans="1:20" s="145" customFormat="1" ht="15">
      <c r="D6" s="281" t="s">
        <v>185</v>
      </c>
      <c r="E6" s="986" t="str">
        <f>IF($M$9="ACB","100983119","1004 148 5104 6511")</f>
        <v>100983119</v>
      </c>
      <c r="F6" s="986"/>
      <c r="G6" s="986"/>
      <c r="H6" s="693" t="s">
        <v>112</v>
      </c>
      <c r="I6" s="282" t="str">
        <f>IF(H6="VNĐ","1121",IF(H6="USD","1122",""))</f>
        <v>1121</v>
      </c>
      <c r="N6" s="978" t="s">
        <v>399</v>
      </c>
      <c r="O6" s="978"/>
      <c r="Q6" s="983" t="s">
        <v>336</v>
      </c>
      <c r="R6" s="983" t="s">
        <v>401</v>
      </c>
      <c r="S6" s="983" t="s">
        <v>402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694"/>
      <c r="I7" s="151"/>
      <c r="Q7" s="984"/>
      <c r="R7" s="984"/>
      <c r="S7" s="984"/>
    </row>
    <row r="8" spans="1:20" s="152" customFormat="1" ht="22.5" customHeight="1" thickBot="1">
      <c r="A8" s="989" t="s">
        <v>145</v>
      </c>
      <c r="B8" s="991" t="s">
        <v>1</v>
      </c>
      <c r="C8" s="992"/>
      <c r="D8" s="987" t="s">
        <v>0</v>
      </c>
      <c r="E8" s="993" t="s">
        <v>14</v>
      </c>
      <c r="F8" s="995" t="s">
        <v>146</v>
      </c>
      <c r="G8" s="995"/>
      <c r="H8" s="992"/>
      <c r="I8" s="987" t="s">
        <v>134</v>
      </c>
      <c r="K8" s="143"/>
      <c r="L8" s="145"/>
      <c r="N8" s="702">
        <f>IF(K9="Quý I",1,IF(K9="Quý II",4,IF(K9="Quý III",7,IF(K9="Quý IV",10,""))))</f>
        <v>7</v>
      </c>
      <c r="O8" s="703">
        <f>IF(K9="Quý I",3,IF(K9="Quý II",6,IF(K9="Quý III",9,IF(K9="Quý IV",12,""))))</f>
        <v>9</v>
      </c>
      <c r="Q8" s="561" t="s">
        <v>337</v>
      </c>
      <c r="R8" s="562">
        <v>20452439</v>
      </c>
      <c r="S8" s="562"/>
      <c r="T8" s="563">
        <f>SUM(R8:S8)</f>
        <v>20452439</v>
      </c>
    </row>
    <row r="9" spans="1:20" s="152" customFormat="1" ht="22.5" customHeight="1" thickBot="1">
      <c r="A9" s="990"/>
      <c r="B9" s="153" t="s">
        <v>15</v>
      </c>
      <c r="C9" s="154" t="s">
        <v>147</v>
      </c>
      <c r="D9" s="988"/>
      <c r="E9" s="994"/>
      <c r="F9" s="274" t="s">
        <v>148</v>
      </c>
      <c r="G9" s="155" t="s">
        <v>149</v>
      </c>
      <c r="H9" s="695" t="s">
        <v>150</v>
      </c>
      <c r="I9" s="988"/>
      <c r="K9" s="185" t="s">
        <v>1126</v>
      </c>
      <c r="L9" s="145"/>
      <c r="M9" s="560" t="s">
        <v>401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567"/>
      <c r="G11" s="567"/>
      <c r="H11" s="567">
        <f>IF($M$9="ACB",$R$8,$S$8)+SUMIF(_N112,"x",TH)-SUMIF(_C112,"x",TH)</f>
        <v>90329896</v>
      </c>
      <c r="I11" s="564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56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56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04">
        <f ca="1">IF(A12&lt;&gt;"",H11+F12-G12,0)</f>
        <v>80737896</v>
      </c>
      <c r="I12" s="565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56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6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04">
        <f t="shared" ref="H13:H40" ca="1" si="0">IF(A13&lt;&gt;"",H12+F13-G13,0)</f>
        <v>4813796</v>
      </c>
      <c r="I13" s="565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56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56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04">
        <f t="shared" ca="1" si="0"/>
        <v>4775834</v>
      </c>
      <c r="I14" s="565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56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56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4">
        <f t="shared" ca="1" si="0"/>
        <v>4765834</v>
      </c>
      <c r="I15" s="565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56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56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04">
        <f t="shared" ca="1" si="0"/>
        <v>9765834</v>
      </c>
      <c r="I16" s="565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56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56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4">
        <f t="shared" ca="1" si="0"/>
        <v>109765834</v>
      </c>
      <c r="I17" s="565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56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56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04">
        <f t="shared" ca="1" si="0"/>
        <v>146356234</v>
      </c>
      <c r="I18" s="565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56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6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04">
        <f t="shared" ca="1" si="0"/>
        <v>129356234</v>
      </c>
      <c r="I19" s="565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56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6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04">
        <f t="shared" ca="1" si="0"/>
        <v>122356234</v>
      </c>
      <c r="I20" s="565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56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6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04">
        <f t="shared" ca="1" si="0"/>
        <v>37356234</v>
      </c>
      <c r="I21" s="565"/>
      <c r="L21" s="145"/>
      <c r="Q21" s="563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56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56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04">
        <f t="shared" ca="1" si="0"/>
        <v>37313734</v>
      </c>
      <c r="I22" s="565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56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56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04">
        <f t="shared" ca="1" si="0"/>
        <v>37303734</v>
      </c>
      <c r="I23" s="565"/>
      <c r="L23" s="145"/>
      <c r="Q23" s="690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56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6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04">
        <f t="shared" ca="1" si="0"/>
        <v>37293734</v>
      </c>
      <c r="I24" s="565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56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56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04">
        <f t="shared" ca="1" si="0"/>
        <v>52293734</v>
      </c>
      <c r="I25" s="565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56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6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04">
        <f t="shared" ca="1" si="0"/>
        <v>32293734</v>
      </c>
      <c r="I26" s="565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56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56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04">
        <f t="shared" ca="1" si="0"/>
        <v>32273734</v>
      </c>
      <c r="I27" s="565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56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56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04">
        <f t="shared" ca="1" si="0"/>
        <v>26755734</v>
      </c>
      <c r="I28" s="565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56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6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04">
        <f t="shared" ca="1" si="0"/>
        <v>26745734</v>
      </c>
      <c r="I29" s="565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56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6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04">
        <f t="shared" ca="1" si="0"/>
        <v>15112459</v>
      </c>
      <c r="I30" s="565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56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56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04">
        <f t="shared" ca="1" si="0"/>
        <v>15102459</v>
      </c>
      <c r="I31" s="565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56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56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4">
        <f t="shared" ca="1" si="0"/>
        <v>52102459</v>
      </c>
      <c r="I32" s="565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56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56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04">
        <f t="shared" ca="1" si="0"/>
        <v>67102459</v>
      </c>
      <c r="I33" s="565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56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6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04">
        <f t="shared" ca="1" si="0"/>
        <v>58741275</v>
      </c>
      <c r="I34" s="565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568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568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04">
        <f t="shared" ca="1" si="0"/>
        <v>741275</v>
      </c>
      <c r="I35" s="565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568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568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04">
        <f t="shared" ca="1" si="0"/>
        <v>712275</v>
      </c>
      <c r="I36" s="565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568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68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04">
        <f t="shared" ca="1" si="0"/>
        <v>702275</v>
      </c>
      <c r="I37" s="565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568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68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04">
        <f t="shared" ca="1" si="0"/>
        <v>692275</v>
      </c>
      <c r="I38" s="565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568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568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04">
        <f t="shared" ca="1" si="0"/>
        <v>8037441</v>
      </c>
      <c r="I39" s="565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568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568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04">
        <f t="shared" ca="1" si="0"/>
        <v>46223556</v>
      </c>
      <c r="I40" s="565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568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68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04">
        <f t="shared" ref="H41:H43" ca="1" si="1">IF(A41&lt;&gt;"",H40+F41-G41,0)</f>
        <v>38723556</v>
      </c>
      <c r="I41" s="565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568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568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04">
        <f t="shared" ca="1" si="1"/>
        <v>53268020</v>
      </c>
      <c r="I42" s="565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568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568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4">
        <f t="shared" ca="1" si="1"/>
        <v>53330845</v>
      </c>
      <c r="I43" s="565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568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568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04">
        <f t="shared" ref="H44:H60" ca="1" si="2">IF(A44&lt;&gt;"",H43+F44-G44,0)</f>
        <v>58335845</v>
      </c>
      <c r="I44" s="565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568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568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4">
        <f t="shared" ca="1" si="2"/>
        <v>70335845</v>
      </c>
      <c r="I45" s="565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568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568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04">
        <f t="shared" ca="1" si="2"/>
        <v>335845</v>
      </c>
      <c r="I46" s="565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568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568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04">
        <f t="shared" ca="1" si="2"/>
        <v>300845</v>
      </c>
      <c r="I47" s="565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568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568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04">
        <f t="shared" ca="1" si="2"/>
        <v>290845</v>
      </c>
      <c r="I48" s="565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568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568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04">
        <f t="shared" ca="1" si="2"/>
        <v>21290845</v>
      </c>
      <c r="I49" s="565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568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568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4">
        <f t="shared" ca="1" si="2"/>
        <v>43550960</v>
      </c>
      <c r="I50" s="565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568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568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4">
        <f t="shared" ca="1" si="2"/>
        <v>50590960</v>
      </c>
      <c r="I51" s="565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568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568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4">
        <f t="shared" ca="1" si="2"/>
        <v>60590960</v>
      </c>
      <c r="I52" s="565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568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568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04">
        <f t="shared" ca="1" si="2"/>
        <v>80381566</v>
      </c>
      <c r="I53" s="565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568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568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04">
        <f t="shared" ca="1" si="2"/>
        <v>88466346</v>
      </c>
      <c r="I54" s="565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568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568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04">
        <f t="shared" ca="1" si="2"/>
        <v>8466346</v>
      </c>
      <c r="I55" s="565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568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568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04">
        <f t="shared" ca="1" si="2"/>
        <v>8426346</v>
      </c>
      <c r="I56" s="565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568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568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04">
        <f t="shared" ca="1" si="2"/>
        <v>26926346</v>
      </c>
      <c r="I57" s="565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568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568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04">
        <f t="shared" ca="1" si="2"/>
        <v>39426346</v>
      </c>
      <c r="I58" s="565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568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568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4">
        <f t="shared" ca="1" si="2"/>
        <v>40426346</v>
      </c>
      <c r="I59" s="565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568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568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04">
        <f t="shared" ca="1" si="2"/>
        <v>46295946</v>
      </c>
      <c r="I60" s="565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568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568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04">
        <f t="shared" ref="H61:H77" ca="1" si="3">IF(A61&lt;&gt;"",H60+F61-G61,0)</f>
        <v>6295946</v>
      </c>
      <c r="I61" s="565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568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568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04">
        <f t="shared" ca="1" si="3"/>
        <v>6285946</v>
      </c>
      <c r="I62" s="565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568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568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04">
        <f t="shared" ca="1" si="3"/>
        <v>6325891</v>
      </c>
      <c r="I63" s="565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568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568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04">
        <f t="shared" ca="1" si="3"/>
        <v>26325891</v>
      </c>
      <c r="I64" s="565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568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568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04">
        <f t="shared" ca="1" si="3"/>
        <v>34325891</v>
      </c>
      <c r="I65" s="565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568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568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4">
        <f t="shared" ca="1" si="3"/>
        <v>39325891</v>
      </c>
      <c r="I66" s="565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568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568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04">
        <f t="shared" ca="1" si="3"/>
        <v>29943891</v>
      </c>
      <c r="I67" s="565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568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568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04">
        <f t="shared" ca="1" si="3"/>
        <v>29933891</v>
      </c>
      <c r="I68" s="565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568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568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04">
        <f t="shared" ca="1" si="3"/>
        <v>19933891</v>
      </c>
      <c r="I69" s="565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568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568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04">
        <f t="shared" ca="1" si="3"/>
        <v>19913891</v>
      </c>
      <c r="I70" s="565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568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568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04">
        <f t="shared" ca="1" si="3"/>
        <v>25956851</v>
      </c>
      <c r="I71" s="565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568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568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04">
        <f t="shared" ca="1" si="3"/>
        <v>35956851</v>
      </c>
      <c r="I72" s="565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568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568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04">
        <f t="shared" ca="1" si="3"/>
        <v>956851</v>
      </c>
      <c r="I73" s="565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568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568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04">
        <f t="shared" ca="1" si="3"/>
        <v>936851</v>
      </c>
      <c r="I74" s="565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568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568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04">
        <f t="shared" ca="1" si="3"/>
        <v>926851</v>
      </c>
      <c r="I75" s="565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568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568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04">
        <f t="shared" ca="1" si="3"/>
        <v>56997851</v>
      </c>
      <c r="I76" s="565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568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568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04">
        <f t="shared" ca="1" si="3"/>
        <v>16997851</v>
      </c>
      <c r="I77" s="565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568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568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04">
        <f t="shared" ref="H78:H91" ca="1" si="4">IF(A78&lt;&gt;"",H77+F78-G78,0)</f>
        <v>16977851</v>
      </c>
      <c r="I78" s="565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568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568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04">
        <f t="shared" ca="1" si="4"/>
        <v>38237881</v>
      </c>
      <c r="I79" s="565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568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568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04">
        <f t="shared" ca="1" si="4"/>
        <v>58237881</v>
      </c>
      <c r="I80" s="565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568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568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04">
        <f t="shared" ca="1" si="4"/>
        <v>28237881</v>
      </c>
      <c r="I81" s="565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568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568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04">
        <f t="shared" ca="1" si="4"/>
        <v>28217881</v>
      </c>
      <c r="I82" s="565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568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568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4">
        <f t="shared" ca="1" si="4"/>
        <v>45217881</v>
      </c>
      <c r="I83" s="565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568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568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04">
        <f t="shared" ca="1" si="4"/>
        <v>35217881</v>
      </c>
      <c r="I84" s="565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568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568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04">
        <f t="shared" ca="1" si="4"/>
        <v>35197881</v>
      </c>
      <c r="I85" s="565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568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568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04">
        <f t="shared" ca="1" si="4"/>
        <v>197881</v>
      </c>
      <c r="I86" s="565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568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568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04">
        <f t="shared" ca="1" si="4"/>
        <v>177881</v>
      </c>
      <c r="I87" s="565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568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568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04">
        <f t="shared" ca="1" si="4"/>
        <v>167881</v>
      </c>
      <c r="I88" s="565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568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568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04">
        <f t="shared" ca="1" si="4"/>
        <v>199871</v>
      </c>
      <c r="I89" s="565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568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568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4">
        <f t="shared" ca="1" si="4"/>
        <v>20199871</v>
      </c>
      <c r="I90" s="565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568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568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04">
        <f t="shared" ca="1" si="4"/>
        <v>199871</v>
      </c>
      <c r="I91" s="565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568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568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04">
        <f t="shared" ref="H92:H93" ca="1" si="5">IF(A92&lt;&gt;"",H91+F92-G92,0)</f>
        <v>179871</v>
      </c>
      <c r="I92" s="565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568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568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04">
        <f t="shared" ca="1" si="5"/>
        <v>169871</v>
      </c>
      <c r="I93" s="565"/>
    </row>
    <row r="94" spans="1:20" s="152" customFormat="1" ht="20.25" customHeight="1">
      <c r="A94" s="163"/>
      <c r="B94" s="163"/>
      <c r="C94" s="163"/>
      <c r="D94" s="251"/>
      <c r="E94" s="163"/>
      <c r="F94" s="568"/>
      <c r="G94" s="568"/>
      <c r="H94" s="704"/>
      <c r="I94" s="565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567">
        <f ca="1">SUM(F12:F94)</f>
        <v>595224996</v>
      </c>
      <c r="G95" s="567">
        <f ca="1">SUM(G12:G94)</f>
        <v>685385021</v>
      </c>
      <c r="H95" s="567">
        <f ca="1">H11+F95-G95</f>
        <v>169871</v>
      </c>
      <c r="I95" s="566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567">
        <f ca="1">H95</f>
        <v>169871</v>
      </c>
      <c r="I96" s="166"/>
    </row>
    <row r="97" spans="1:20" s="162" customFormat="1" ht="22.5" customHeight="1">
      <c r="A97" s="269" t="s">
        <v>169</v>
      </c>
      <c r="B97" s="168"/>
      <c r="F97" s="169"/>
      <c r="H97" s="696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696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696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697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696"/>
      <c r="K101" s="180"/>
      <c r="L101" s="180"/>
      <c r="Q101" s="181"/>
      <c r="R101" s="181"/>
      <c r="S101" s="181"/>
      <c r="T101" s="181"/>
    </row>
    <row r="108" spans="1:20">
      <c r="B108" s="240" t="s">
        <v>167</v>
      </c>
      <c r="G108" s="253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5"/>
  <sheetViews>
    <sheetView showZeros="0" workbookViewId="0">
      <pane ySplit="3" topLeftCell="A4" activePane="bottomLeft" state="frozen"/>
      <selection pane="bottomLeft" activeCell="B6" sqref="B6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996" t="s">
        <v>417</v>
      </c>
      <c r="B1" s="996"/>
      <c r="C1" s="996"/>
      <c r="D1" s="996"/>
      <c r="E1" s="996"/>
      <c r="F1" s="996"/>
      <c r="G1" s="996"/>
      <c r="H1" s="996"/>
    </row>
    <row r="2" spans="1:9" s="10" customFormat="1" ht="14.25" customHeight="1">
      <c r="A2" s="997" t="s">
        <v>35</v>
      </c>
      <c r="B2" s="999" t="s">
        <v>36</v>
      </c>
      <c r="C2" s="1001" t="s">
        <v>37</v>
      </c>
      <c r="D2" s="1002"/>
      <c r="E2" s="1001" t="s">
        <v>38</v>
      </c>
      <c r="F2" s="1002"/>
      <c r="G2" s="1001" t="s">
        <v>42</v>
      </c>
      <c r="H2" s="1002"/>
    </row>
    <row r="3" spans="1:9" s="10" customFormat="1" ht="14.25" customHeight="1">
      <c r="A3" s="998"/>
      <c r="B3" s="1000"/>
      <c r="C3" s="710" t="s">
        <v>43</v>
      </c>
      <c r="D3" s="710" t="s">
        <v>44</v>
      </c>
      <c r="E3" s="710" t="s">
        <v>43</v>
      </c>
      <c r="F3" s="710" t="s">
        <v>44</v>
      </c>
      <c r="G3" s="710" t="s">
        <v>43</v>
      </c>
      <c r="H3" s="710" t="s">
        <v>44</v>
      </c>
    </row>
    <row r="4" spans="1:9" s="10" customFormat="1" ht="16.5" customHeight="1">
      <c r="A4" s="6">
        <f>IF(B4&lt;&gt;"",ROW()-3,"")</f>
        <v>1</v>
      </c>
      <c r="B4" s="7" t="s">
        <v>1136</v>
      </c>
      <c r="C4" s="8"/>
      <c r="D4" s="8"/>
      <c r="E4" s="8">
        <f t="array" ref="E4">SUM(IF("131"&amp;B4=KHN&amp;KH,TH))</f>
        <v>38029338</v>
      </c>
      <c r="F4" s="8">
        <f t="array" ref="F4">SUM(IF("131"&amp;B4=KHC&amp;KH,TH))</f>
        <v>38029338</v>
      </c>
      <c r="G4" s="58">
        <f t="shared" ref="G4:G10" si="0">ROUND(MAX(C4+E4-D4-F4,0),2)</f>
        <v>0</v>
      </c>
      <c r="H4" s="58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1147</v>
      </c>
      <c r="C5" s="8"/>
      <c r="D5" s="8"/>
      <c r="E5" s="8">
        <f t="array" ref="E5">SUM(IF("131"&amp;B5=KHN&amp;KH,TH))</f>
        <v>47868150</v>
      </c>
      <c r="F5" s="8">
        <f t="array" ref="F5">SUM(IF("131"&amp;B5=KHC&amp;KH,TH))</f>
        <v>35332000</v>
      </c>
      <c r="G5" s="58">
        <f t="shared" si="0"/>
        <v>12536150</v>
      </c>
      <c r="H5" s="58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1131</v>
      </c>
      <c r="C6" s="8"/>
      <c r="D6" s="8"/>
      <c r="E6" s="8">
        <f t="array" ref="E6">SUM(IF("131"&amp;B6=KHN&amp;KH,TH))</f>
        <v>136040729</v>
      </c>
      <c r="F6" s="8">
        <f t="array" ref="F6">SUM(IF("131"&amp;B6=KHC&amp;KH,TH))</f>
        <v>216113469</v>
      </c>
      <c r="G6" s="58">
        <f t="shared" si="0"/>
        <v>0</v>
      </c>
      <c r="H6" s="58">
        <f t="shared" si="1"/>
        <v>80072740</v>
      </c>
      <c r="I6" s="10" t="str">
        <f>IF(ISNA(VLOOKUP(B6,'[2]131'!$B$4:$B$26,1,0)),"","x")</f>
        <v>x</v>
      </c>
    </row>
    <row r="7" spans="1:9" s="10" customFormat="1" ht="16.5" customHeight="1">
      <c r="A7" s="6">
        <f t="shared" si="2"/>
        <v>4</v>
      </c>
      <c r="B7" s="7" t="s">
        <v>1145</v>
      </c>
      <c r="C7" s="8"/>
      <c r="D7" s="8"/>
      <c r="E7" s="8">
        <f t="array" ref="E7">SUM(IF("131"&amp;B7=KHN&amp;KH,TH))</f>
        <v>56071290</v>
      </c>
      <c r="F7" s="8">
        <f t="array" ref="F7">SUM(IF("131"&amp;B7=KHC&amp;KH,TH))</f>
        <v>56071000</v>
      </c>
      <c r="G7" s="58">
        <f t="shared" si="0"/>
        <v>290</v>
      </c>
      <c r="H7" s="58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207" t="s">
        <v>1346</v>
      </c>
      <c r="C8" s="8"/>
      <c r="D8" s="8"/>
      <c r="E8" s="8">
        <f t="array" ref="E8">SUM(IF("131"&amp;B8=KHN&amp;KH,TH))</f>
        <v>36590400</v>
      </c>
      <c r="F8" s="8">
        <f t="array" ref="F8">SUM(IF("131"&amp;B8=KHC&amp;KH,TH))</f>
        <v>36590400</v>
      </c>
      <c r="G8" s="58">
        <f t="shared" si="0"/>
        <v>0</v>
      </c>
      <c r="H8" s="58">
        <f t="shared" si="1"/>
        <v>0</v>
      </c>
      <c r="I8" s="10" t="str">
        <f>IF(ISNA(VLOOKUP(B8,'[2]131'!$B$4:$B$26,1,0)),"","x")</f>
        <v/>
      </c>
    </row>
    <row r="9" spans="1:9" s="10" customFormat="1" ht="16.5" customHeight="1">
      <c r="A9" s="6">
        <f t="shared" si="2"/>
        <v>6</v>
      </c>
      <c r="B9" s="48" t="s">
        <v>1137</v>
      </c>
      <c r="C9" s="8"/>
      <c r="D9" s="8"/>
      <c r="E9" s="8">
        <f t="array" ref="E9">SUM(IF("131"&amp;B9=KHN&amp;KH,TH))</f>
        <v>85033410</v>
      </c>
      <c r="F9" s="8">
        <f t="array" ref="F9">SUM(IF("131"&amp;B9=KHC&amp;KH,TH))</f>
        <v>60240213</v>
      </c>
      <c r="G9" s="58">
        <f t="shared" si="0"/>
        <v>24793197</v>
      </c>
      <c r="H9" s="58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1140</v>
      </c>
      <c r="C10" s="8"/>
      <c r="D10" s="8"/>
      <c r="E10" s="8">
        <f t="array" ref="E10">SUM(IF("131"&amp;B10=KHN&amp;KH,TH))</f>
        <v>7345166</v>
      </c>
      <c r="F10" s="8">
        <f t="array" ref="F10">SUM(IF("131"&amp;B10=KHC&amp;KH,TH))</f>
        <v>7345166</v>
      </c>
      <c r="G10" s="58">
        <f t="shared" si="0"/>
        <v>0</v>
      </c>
      <c r="H10" s="58">
        <f t="shared" si="1"/>
        <v>0</v>
      </c>
      <c r="I10" s="10" t="str">
        <f>IF(ISNA(VLOOKUP(B10,'[2]131'!$B$4:$B$26,1,0)),"","x")</f>
        <v/>
      </c>
    </row>
    <row r="11" spans="1:9" s="10" customFormat="1" ht="16.5" customHeight="1">
      <c r="A11" s="6">
        <f t="shared" si="2"/>
        <v>8</v>
      </c>
      <c r="B11" s="7" t="s">
        <v>416</v>
      </c>
      <c r="C11" s="8"/>
      <c r="D11" s="8"/>
      <c r="E11" s="8">
        <f t="array" ref="E11">SUM(IF("131"&amp;B11=KHN&amp;KH,TH))</f>
        <v>175732488</v>
      </c>
      <c r="F11" s="8">
        <f t="array" ref="F11">SUM(IF("131"&amp;B11=KHC&amp;KH,TH))</f>
        <v>155298332</v>
      </c>
      <c r="G11" s="58">
        <f>ROUND(MAX(C11+E11-D11-F11,0),2)</f>
        <v>20434156</v>
      </c>
      <c r="H11" s="58">
        <f>ROUND(MAX(D11+F11-C11-E11,0),2)</f>
        <v>0</v>
      </c>
      <c r="I11" s="10" t="str">
        <f>IF(ISNA(VLOOKUP(B11,'[2]131'!$B$4:$B$26,1,0)),"","x")</f>
        <v>x</v>
      </c>
    </row>
    <row r="12" spans="1:9" s="10" customFormat="1" ht="16.5" customHeight="1">
      <c r="A12" s="6">
        <f t="shared" si="2"/>
        <v>9</v>
      </c>
      <c r="B12" s="7" t="s">
        <v>1553</v>
      </c>
      <c r="C12" s="8"/>
      <c r="D12" s="8"/>
      <c r="E12" s="8">
        <f t="array" ref="E12">SUM(IF("131"&amp;B12=KHN&amp;KH,TH))</f>
        <v>197941021</v>
      </c>
      <c r="F12" s="8">
        <f t="array" ref="F12">SUM(IF("131"&amp;B12=KHC&amp;KH,TH))</f>
        <v>685695311</v>
      </c>
      <c r="G12" s="58">
        <f>ROUND(MAX(C12+E12-D12-F12,0),2)</f>
        <v>0</v>
      </c>
      <c r="H12" s="58">
        <f>ROUND(MAX(D12+F12-C12-E12,0),2)</f>
        <v>487754290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8" t="s">
        <v>1133</v>
      </c>
      <c r="C13" s="8"/>
      <c r="D13" s="8"/>
      <c r="E13" s="8">
        <f t="array" ref="E13">SUM(IF("131"&amp;B13=KHN&amp;KH,TH))</f>
        <v>43844630</v>
      </c>
      <c r="F13" s="8">
        <f t="array" ref="F13">SUM(IF("131"&amp;B13=KHC&amp;KH,TH))</f>
        <v>111452426</v>
      </c>
      <c r="G13" s="58">
        <f>ROUND(MAX(C13+E13-D13-F13,0),2)</f>
        <v>0</v>
      </c>
      <c r="H13" s="58">
        <f>ROUND(MAX(D13+F13-C13-E13,0),2)</f>
        <v>67607796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8" t="s">
        <v>1141</v>
      </c>
      <c r="C14" s="8"/>
      <c r="D14" s="8"/>
      <c r="E14" s="8">
        <f t="array" ref="E14">SUM(IF("131"&amp;B14=KHN&amp;KH,TH))</f>
        <v>59446145</v>
      </c>
      <c r="F14" s="8">
        <f t="array" ref="F14">SUM(IF("131"&amp;B14=KHC&amp;KH,TH))</f>
        <v>59446145</v>
      </c>
      <c r="G14" s="58">
        <f>ROUND(MAX(C14+E14-D14-F14,0),2)</f>
        <v>0</v>
      </c>
      <c r="H14" s="58">
        <f>ROUND(MAX(D14+F14-C14-E14,0),2)</f>
        <v>0</v>
      </c>
      <c r="I14" s="10" t="str">
        <f>IF(ISNA(VLOOKUP(B14,'[2]131'!$B$4:$B$26,1,0)),"","x")</f>
        <v>x</v>
      </c>
    </row>
    <row r="15" spans="1:9" s="10" customFormat="1" ht="16.5" customHeight="1">
      <c r="A15" s="6">
        <f t="shared" ref="A15:A22" si="3">IF(B15&lt;&gt;"",ROW()-3,"")</f>
        <v>12</v>
      </c>
      <c r="B15" s="7" t="s">
        <v>1143</v>
      </c>
      <c r="C15" s="8"/>
      <c r="D15" s="8"/>
      <c r="E15" s="8">
        <f t="array" ref="E15">SUM(IF("131"&amp;B15=KHN&amp;KH,TH))</f>
        <v>18009156</v>
      </c>
      <c r="F15" s="8">
        <f t="array" ref="F15">SUM(IF("131"&amp;B15=KHC&amp;KH,TH))</f>
        <v>19790606</v>
      </c>
      <c r="G15" s="58">
        <f t="shared" ref="G15:G22" si="4">ROUND(MAX(C15+E15-D15-F15,0),2)</f>
        <v>0</v>
      </c>
      <c r="H15" s="58">
        <f t="shared" ref="H15:H22" si="5">ROUND(MAX(D15+F15-C15-E15,0),2)</f>
        <v>1781450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1142</v>
      </c>
      <c r="C16" s="8"/>
      <c r="D16" s="8"/>
      <c r="E16" s="8">
        <f t="array" ref="E16">SUM(IF("131"&amp;B16=KHN&amp;KH,TH))</f>
        <v>5005000</v>
      </c>
      <c r="F16" s="8">
        <f t="array" ref="F16">SUM(IF("131"&amp;B16=KHC&amp;KH,TH))</f>
        <v>5005000</v>
      </c>
      <c r="G16" s="58">
        <f t="shared" si="4"/>
        <v>0</v>
      </c>
      <c r="H16" s="58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1146</v>
      </c>
      <c r="C17" s="8"/>
      <c r="D17" s="8"/>
      <c r="E17" s="8">
        <f t="array" ref="E17">SUM(IF("131"&amp;B17=KHN&amp;KH,TH))</f>
        <v>29578780</v>
      </c>
      <c r="F17" s="8">
        <f t="array" ref="F17">SUM(IF("131"&amp;B17=KHC&amp;KH,TH))</f>
        <v>19900980</v>
      </c>
      <c r="G17" s="58">
        <f t="shared" si="4"/>
        <v>9677800</v>
      </c>
      <c r="H17" s="58">
        <f t="shared" si="5"/>
        <v>0</v>
      </c>
      <c r="I17" s="10" t="str">
        <f>IF(ISNA(VLOOKUP(B17,'[2]131'!$B$4:$B$26,1,0)),"","x")</f>
        <v>x</v>
      </c>
    </row>
    <row r="18" spans="1:9" s="10" customFormat="1" ht="16.5" customHeight="1">
      <c r="A18" s="6">
        <f t="shared" si="3"/>
        <v>15</v>
      </c>
      <c r="B18" s="7" t="s">
        <v>1132</v>
      </c>
      <c r="C18" s="8"/>
      <c r="D18" s="8"/>
      <c r="E18" s="8">
        <f t="array" ref="E18">SUM(IF("131"&amp;B18=KHN&amp;KH,TH))</f>
        <v>39953962</v>
      </c>
      <c r="F18" s="8">
        <f t="array" ref="F18">SUM(IF("131"&amp;B18=KHC&amp;KH,TH))</f>
        <v>18632856</v>
      </c>
      <c r="G18" s="58">
        <f t="shared" si="4"/>
        <v>21321106</v>
      </c>
      <c r="H18" s="58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>
        <f t="shared" si="3"/>
        <v>16</v>
      </c>
      <c r="B19" s="7" t="s">
        <v>1144</v>
      </c>
      <c r="C19" s="8"/>
      <c r="D19" s="8"/>
      <c r="E19" s="8">
        <f t="array" ref="E19">SUM(IF("131"&amp;B19=KHN&amp;KH,TH))</f>
        <v>5869600</v>
      </c>
      <c r="F19" s="8">
        <f t="array" ref="F19">SUM(IF("131"&amp;B19=KHC&amp;KH,TH))</f>
        <v>5869600</v>
      </c>
      <c r="G19" s="58">
        <f t="shared" si="4"/>
        <v>0</v>
      </c>
      <c r="H19" s="58">
        <f t="shared" si="5"/>
        <v>0</v>
      </c>
      <c r="I19" s="10" t="str">
        <f>IF(ISNA(VLOOKUP(B19,'[2]131'!$B$4:$B$26,1,0)),"","x")</f>
        <v/>
      </c>
    </row>
    <row r="20" spans="1:9" s="10" customFormat="1" ht="16.5" customHeight="1">
      <c r="A20" s="6">
        <f t="shared" si="3"/>
        <v>17</v>
      </c>
      <c r="B20" s="7" t="s">
        <v>1134</v>
      </c>
      <c r="C20" s="8"/>
      <c r="D20" s="8"/>
      <c r="E20" s="8">
        <f t="array" ref="E20">SUM(IF("131"&amp;B20=KHN&amp;KH,TH))</f>
        <v>4347750</v>
      </c>
      <c r="F20" s="8">
        <f t="array" ref="F20">SUM(IF("131"&amp;B20=KHC&amp;KH,TH))</f>
        <v>4347750</v>
      </c>
      <c r="G20" s="58">
        <f t="shared" si="4"/>
        <v>0</v>
      </c>
      <c r="H20" s="58">
        <f t="shared" si="5"/>
        <v>0</v>
      </c>
      <c r="I20" s="10" t="str">
        <f>IF(ISNA(VLOOKUP(B20,'[2]131'!$B$4:$B$26,1,0)),"","x")</f>
        <v/>
      </c>
    </row>
    <row r="21" spans="1:9" s="10" customFormat="1" ht="16.5" customHeight="1">
      <c r="A21" s="6">
        <f t="shared" si="3"/>
        <v>18</v>
      </c>
      <c r="B21" s="207" t="s">
        <v>1176</v>
      </c>
      <c r="C21" s="8"/>
      <c r="D21" s="8"/>
      <c r="E21" s="8">
        <f t="array" ref="E21">SUM(IF("131"&amp;B21=KHN&amp;KH,TH))</f>
        <v>43949840</v>
      </c>
      <c r="F21" s="8">
        <f t="array" ref="F21">SUM(IF("131"&amp;B21=KHC&amp;KH,TH))</f>
        <v>37284676</v>
      </c>
      <c r="G21" s="58">
        <f t="shared" si="4"/>
        <v>6665164</v>
      </c>
      <c r="H21" s="58">
        <f t="shared" si="5"/>
        <v>0</v>
      </c>
      <c r="I21" s="10" t="str">
        <f>IF(ISNA(VLOOKUP(B21,'[2]131'!$B$4:$B$26,1,0)),"","x")</f>
        <v/>
      </c>
    </row>
    <row r="22" spans="1:9" s="10" customFormat="1" ht="16.5" customHeight="1">
      <c r="A22" s="6">
        <f t="shared" si="3"/>
        <v>19</v>
      </c>
      <c r="B22" s="7" t="s">
        <v>1138</v>
      </c>
      <c r="C22" s="8"/>
      <c r="D22" s="8"/>
      <c r="E22" s="8">
        <f t="array" ref="E22">SUM(IF("131"&amp;B22=KHN&amp;KH,TH))</f>
        <v>21648550</v>
      </c>
      <c r="F22" s="8">
        <f t="array" ref="F22">SUM(IF("131"&amp;B22=KHC&amp;KH,TH))</f>
        <v>21648550</v>
      </c>
      <c r="G22" s="58">
        <f t="shared" si="4"/>
        <v>0</v>
      </c>
      <c r="H22" s="58">
        <f t="shared" si="5"/>
        <v>0</v>
      </c>
      <c r="I22" s="10" t="str">
        <f>IF(ISNA(VLOOKUP(B22,'[2]131'!$B$4:$B$26,1,0)),"","x")</f>
        <v/>
      </c>
    </row>
    <row r="23" spans="1:9" s="10" customFormat="1" ht="16.5" customHeight="1">
      <c r="A23" s="6">
        <f>IF(B23&lt;&gt;"",ROW()-3,"")</f>
        <v>20</v>
      </c>
      <c r="B23" s="45" t="s">
        <v>1148</v>
      </c>
      <c r="C23" s="8"/>
      <c r="D23" s="8"/>
      <c r="E23" s="8">
        <f t="array" ref="E23">SUM(IF("131"&amp;B23=KHN&amp;KH,TH))</f>
        <v>6157976</v>
      </c>
      <c r="F23" s="8">
        <f t="array" ref="F23">SUM(IF("131"&amp;B23=KHC&amp;KH,TH))</f>
        <v>6158000</v>
      </c>
      <c r="G23" s="58">
        <f>ROUND(MAX(C23+E23-D23-F23,0),2)</f>
        <v>0</v>
      </c>
      <c r="H23" s="58">
        <f>ROUND(MAX(D23+F23-C23-E23,0),2)</f>
        <v>24</v>
      </c>
      <c r="I23" s="10" t="str">
        <f>IF(ISNA(VLOOKUP(B23,'[2]131'!$B$4:$B$26,1,0)),"","x")</f>
        <v/>
      </c>
    </row>
    <row r="24" spans="1:9" s="10" customFormat="1" ht="16.5" customHeight="1">
      <c r="A24" s="6">
        <f>IF(B24&lt;&gt;"",ROW()-3,"")</f>
        <v>21</v>
      </c>
      <c r="B24" s="207" t="s">
        <v>1135</v>
      </c>
      <c r="C24" s="8"/>
      <c r="D24" s="8"/>
      <c r="E24" s="8">
        <f t="array" ref="E24">SUM(IF("131"&amp;B24=KHN&amp;KH,TH))</f>
        <v>6325000</v>
      </c>
      <c r="F24" s="8">
        <f t="array" ref="F24">SUM(IF("131"&amp;B24=KHC&amp;KH,TH))</f>
        <v>31108880</v>
      </c>
      <c r="G24" s="58">
        <f>ROUND(MAX(C24+E24-D24-F24,0),2)</f>
        <v>0</v>
      </c>
      <c r="H24" s="58">
        <f>ROUND(MAX(D24+F24-C24-E24,0),2)</f>
        <v>24783880</v>
      </c>
      <c r="I24" s="10" t="str">
        <f>IF(ISNA(VLOOKUP(B24,'[2]131'!$B$4:$B$26,1,0)),"","x")</f>
        <v/>
      </c>
    </row>
    <row r="25" spans="1:9" s="10" customFormat="1" ht="16.5" customHeight="1">
      <c r="A25" s="6">
        <f t="shared" ref="A25:A50" si="6">IF(B25&lt;&gt;"",ROW()-3,"")</f>
        <v>22</v>
      </c>
      <c r="B25" s="207" t="s">
        <v>1139</v>
      </c>
      <c r="C25" s="8"/>
      <c r="D25" s="8"/>
      <c r="E25" s="8">
        <f t="array" ref="E25">SUM(IF("131"&amp;B25=KHN&amp;KH,TH))</f>
        <v>21784384</v>
      </c>
      <c r="F25" s="8">
        <f t="array" ref="F25">SUM(IF("131"&amp;B25=KHC&amp;KH,TH))</f>
        <v>33324440</v>
      </c>
      <c r="G25" s="58">
        <f t="shared" ref="G25" si="7">ROUND(MAX(C25+E25-D25-F25,0),2)</f>
        <v>0</v>
      </c>
      <c r="H25" s="58">
        <f t="shared" ref="H25" si="8">ROUND(MAX(D25+F25-C25-E25,0),2)</f>
        <v>11540056</v>
      </c>
      <c r="I25" s="10" t="str">
        <f>IF(ISNA(VLOOKUP(B25,'[2]131'!$B$4:$B$26,1,0)),"","x")</f>
        <v/>
      </c>
    </row>
    <row r="26" spans="1:9" s="10" customFormat="1" ht="16.5" customHeight="1">
      <c r="A26" s="6">
        <f t="shared" si="6"/>
        <v>23</v>
      </c>
      <c r="B26" s="207" t="s">
        <v>1158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  <c r="I26" s="10" t="str">
        <f>IF(ISNA(VLOOKUP(B26,'[2]131'!$B$4:$B$26,1,0)),"","x")</f>
        <v/>
      </c>
    </row>
    <row r="27" spans="1:9" s="10" customFormat="1" ht="16.5" customHeight="1">
      <c r="A27" s="6">
        <f t="shared" si="6"/>
        <v>24</v>
      </c>
      <c r="B27" s="207" t="s">
        <v>1160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8">
        <f t="shared" ref="G27:G36" si="11">ROUND(MAX(C27+E27-D27-F27,0),2)</f>
        <v>0</v>
      </c>
      <c r="H27" s="58">
        <f t="shared" ref="H27:H36" si="12">ROUND(MAX(D27+F27-C27-E27,0),2)</f>
        <v>0</v>
      </c>
      <c r="I27" s="10" t="str">
        <f>IF(ISNA(VLOOKUP(B27,'[2]131'!$B$4:$B$26,1,0)),"","x")</f>
        <v/>
      </c>
    </row>
    <row r="28" spans="1:9" s="10" customFormat="1" ht="16.5" customHeight="1">
      <c r="A28" s="6">
        <f t="shared" si="6"/>
        <v>25</v>
      </c>
      <c r="B28" s="207" t="s">
        <v>1188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8">
        <f t="shared" si="11"/>
        <v>0</v>
      </c>
      <c r="H28" s="58">
        <f t="shared" si="12"/>
        <v>0</v>
      </c>
      <c r="I28" s="10" t="str">
        <f>IF(ISNA(VLOOKUP(B28,'[2]131'!$B$4:$B$26,1,0)),"","x")</f>
        <v/>
      </c>
    </row>
    <row r="29" spans="1:9" s="10" customFormat="1" ht="16.5" customHeight="1">
      <c r="A29" s="6">
        <f t="shared" si="6"/>
        <v>26</v>
      </c>
      <c r="B29" s="207" t="s">
        <v>1198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8">
        <f t="shared" si="11"/>
        <v>0</v>
      </c>
      <c r="H29" s="58">
        <f t="shared" si="12"/>
        <v>0</v>
      </c>
      <c r="I29" s="10" t="str">
        <f>IF(ISNA(VLOOKUP(B29,'[2]131'!$B$4:$B$26,1,0)),"","x")</f>
        <v/>
      </c>
    </row>
    <row r="30" spans="1:9" s="10" customFormat="1" ht="16.5" customHeight="1">
      <c r="A30" s="6">
        <f t="shared" si="6"/>
        <v>27</v>
      </c>
      <c r="B30" s="7" t="s">
        <v>1327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8">
        <f t="shared" si="11"/>
        <v>0</v>
      </c>
      <c r="H30" s="58">
        <f t="shared" si="12"/>
        <v>0</v>
      </c>
      <c r="I30" s="10" t="str">
        <f>IF(ISNA(VLOOKUP(B30,'[2]131'!$B$4:$B$26,1,0)),"","x")</f>
        <v/>
      </c>
    </row>
    <row r="31" spans="1:9" s="10" customFormat="1" ht="16.5" customHeight="1">
      <c r="A31" s="6">
        <f t="shared" si="6"/>
        <v>28</v>
      </c>
      <c r="B31" s="207" t="s">
        <v>1278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8">
        <f t="shared" si="11"/>
        <v>0</v>
      </c>
      <c r="H31" s="58">
        <f t="shared" si="12"/>
        <v>0</v>
      </c>
      <c r="I31" s="10" t="str">
        <f>IF(ISNA(VLOOKUP(B31,'[2]131'!$B$4:$B$26,1,0)),"","x")</f>
        <v/>
      </c>
    </row>
    <row r="32" spans="1:9" s="10" customFormat="1" ht="16.5" customHeight="1">
      <c r="A32" s="6">
        <f t="shared" si="6"/>
        <v>29</v>
      </c>
      <c r="B32" s="207" t="s">
        <v>1207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8">
        <f t="shared" si="11"/>
        <v>0</v>
      </c>
      <c r="H32" s="58">
        <f t="shared" si="12"/>
        <v>0</v>
      </c>
      <c r="I32" s="10" t="str">
        <f>IF(ISNA(VLOOKUP(B32,'[2]131'!$B$4:$B$26,1,0)),"","x")</f>
        <v/>
      </c>
    </row>
    <row r="33" spans="1:9" s="10" customFormat="1" ht="16.5" customHeight="1">
      <c r="A33" s="6">
        <f t="shared" si="6"/>
        <v>30</v>
      </c>
      <c r="B33" s="207" t="s">
        <v>1370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8">
        <f t="shared" si="11"/>
        <v>0</v>
      </c>
      <c r="H33" s="58">
        <f t="shared" si="12"/>
        <v>0</v>
      </c>
      <c r="I33" s="10" t="str">
        <f>IF(ISNA(VLOOKUP(B33,'[2]131'!$B$4:$B$26,1,0)),"","x")</f>
        <v/>
      </c>
    </row>
    <row r="34" spans="1:9" s="10" customFormat="1" ht="16.5" customHeight="1">
      <c r="A34" s="6">
        <f t="shared" si="6"/>
        <v>31</v>
      </c>
      <c r="B34" s="207" t="s">
        <v>1256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8">
        <f t="shared" si="11"/>
        <v>0</v>
      </c>
      <c r="H34" s="58">
        <f t="shared" si="12"/>
        <v>0</v>
      </c>
      <c r="I34" s="10" t="str">
        <f>IF(ISNA(VLOOKUP(B34,'[2]131'!$B$4:$B$26,1,0)),"","x")</f>
        <v/>
      </c>
    </row>
    <row r="35" spans="1:9" s="10" customFormat="1" ht="16.5" customHeight="1">
      <c r="A35" s="6">
        <f t="shared" si="6"/>
        <v>32</v>
      </c>
      <c r="B35" s="207" t="s">
        <v>1551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8">
        <f t="shared" si="11"/>
        <v>0</v>
      </c>
      <c r="H35" s="58">
        <f t="shared" si="12"/>
        <v>0</v>
      </c>
      <c r="I35" s="10" t="str">
        <f>IF(ISNA(VLOOKUP(B35,'[2]131'!$B$4:$B$26,1,0)),"","x")</f>
        <v/>
      </c>
    </row>
    <row r="36" spans="1:9" s="10" customFormat="1" ht="16.5" customHeight="1">
      <c r="A36" s="6">
        <f t="shared" si="6"/>
        <v>33</v>
      </c>
      <c r="B36" s="207" t="s">
        <v>1217</v>
      </c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58">
        <f t="shared" si="11"/>
        <v>0</v>
      </c>
      <c r="H36" s="58">
        <f t="shared" si="12"/>
        <v>0</v>
      </c>
      <c r="I36" s="10" t="str">
        <f>IF(ISNA(VLOOKUP(B36,'[2]131'!$B$4:$B$26,1,0)),"","x")</f>
        <v/>
      </c>
    </row>
    <row r="37" spans="1:9" s="10" customFormat="1" ht="16.5" customHeight="1">
      <c r="A37" s="6">
        <f t="shared" si="6"/>
        <v>34</v>
      </c>
      <c r="B37" s="47" t="s">
        <v>1220</v>
      </c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58">
        <f t="shared" ref="G37:G47" si="13">ROUND(MAX(C37+E37-D37-F37,0),2)</f>
        <v>0</v>
      </c>
      <c r="H37" s="58">
        <f t="shared" ref="H37:H47" si="14">ROUND(MAX(D37+F37-C37-E37,0),2)</f>
        <v>0</v>
      </c>
      <c r="I37" s="10" t="str">
        <f>IF(ISNA(VLOOKUP(B37,'[2]131'!$B$4:$B$26,1,0)),"","x")</f>
        <v/>
      </c>
    </row>
    <row r="38" spans="1:9" s="10" customFormat="1" ht="16.5" customHeight="1">
      <c r="A38" s="6">
        <f t="shared" si="6"/>
        <v>35</v>
      </c>
      <c r="B38" s="225" t="s">
        <v>1234</v>
      </c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58">
        <f t="shared" si="13"/>
        <v>0</v>
      </c>
      <c r="H38" s="58">
        <f t="shared" si="14"/>
        <v>0</v>
      </c>
      <c r="I38" s="10" t="str">
        <f>IF(ISNA(VLOOKUP(B38,'[2]131'!$B$4:$B$26,1,0)),"","x")</f>
        <v/>
      </c>
    </row>
    <row r="39" spans="1:9" s="10" customFormat="1" ht="16.5" customHeight="1">
      <c r="A39" s="6">
        <f t="shared" si="6"/>
        <v>36</v>
      </c>
      <c r="B39" s="906" t="s">
        <v>1288</v>
      </c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58">
        <f t="shared" si="13"/>
        <v>0</v>
      </c>
      <c r="H39" s="58">
        <f t="shared" si="14"/>
        <v>0</v>
      </c>
      <c r="I39" s="10" t="str">
        <f>IF(ISNA(VLOOKUP(B39,'[2]131'!$B$4:$B$26,1,0)),"","x")</f>
        <v/>
      </c>
    </row>
    <row r="40" spans="1:9" s="10" customFormat="1" ht="16.5" customHeight="1">
      <c r="A40" s="6">
        <f t="shared" si="6"/>
        <v>37</v>
      </c>
      <c r="B40" s="207" t="s">
        <v>1308</v>
      </c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58">
        <f t="shared" si="13"/>
        <v>0</v>
      </c>
      <c r="H40" s="58">
        <f t="shared" si="14"/>
        <v>0</v>
      </c>
      <c r="I40" s="10" t="str">
        <f>IF(ISNA(VLOOKUP(B40,'[2]131'!$B$4:$B$26,1,0)),"","x")</f>
        <v/>
      </c>
    </row>
    <row r="41" spans="1:9" s="10" customFormat="1" ht="16.5" customHeight="1">
      <c r="A41" s="6">
        <f t="shared" si="6"/>
        <v>38</v>
      </c>
      <c r="B41" s="207" t="s">
        <v>1548</v>
      </c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58">
        <f t="shared" si="13"/>
        <v>0</v>
      </c>
      <c r="H41" s="58">
        <f t="shared" si="14"/>
        <v>0</v>
      </c>
      <c r="I41" s="10" t="str">
        <f>IF(ISNA(VLOOKUP(B41,'[2]131'!$B$4:$B$26,1,0)),"","x")</f>
        <v/>
      </c>
    </row>
    <row r="42" spans="1:9" s="10" customFormat="1" ht="16.5" customHeight="1">
      <c r="A42" s="6">
        <f t="shared" si="6"/>
        <v>39</v>
      </c>
      <c r="B42" s="207" t="s">
        <v>1544</v>
      </c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58">
        <f t="shared" si="13"/>
        <v>0</v>
      </c>
      <c r="H42" s="58">
        <f t="shared" si="14"/>
        <v>0</v>
      </c>
      <c r="I42" s="10" t="str">
        <f>IF(ISNA(VLOOKUP(B42,'[2]131'!$B$4:$B$26,1,0)),"","x")</f>
        <v/>
      </c>
    </row>
    <row r="43" spans="1:9" s="10" customFormat="1" ht="16.5" customHeight="1">
      <c r="A43" s="6">
        <f t="shared" si="6"/>
        <v>40</v>
      </c>
      <c r="B43" s="207" t="s">
        <v>1294</v>
      </c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58">
        <f t="shared" si="13"/>
        <v>0</v>
      </c>
      <c r="H43" s="58">
        <f t="shared" si="14"/>
        <v>0</v>
      </c>
      <c r="I43" s="10" t="str">
        <f>IF(ISNA(VLOOKUP(B43,'[2]131'!$B$4:$B$26,1,0)),"","x")</f>
        <v/>
      </c>
    </row>
    <row r="44" spans="1:9" s="10" customFormat="1" ht="16.5" customHeight="1">
      <c r="A44" s="6">
        <f t="shared" si="6"/>
        <v>41</v>
      </c>
      <c r="B44" s="207" t="s">
        <v>1313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58">
        <f t="shared" si="13"/>
        <v>0</v>
      </c>
      <c r="H44" s="58">
        <f t="shared" si="14"/>
        <v>0</v>
      </c>
      <c r="I44" s="10" t="str">
        <f>IF(ISNA(VLOOKUP(B44,'[2]131'!$B$4:$B$26,1,0)),"","x")</f>
        <v/>
      </c>
    </row>
    <row r="45" spans="1:9" s="10" customFormat="1" ht="16.5" customHeight="1">
      <c r="A45" s="6">
        <f t="shared" si="6"/>
        <v>42</v>
      </c>
      <c r="B45" s="207" t="s">
        <v>1319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58">
        <f t="shared" si="13"/>
        <v>0</v>
      </c>
      <c r="H45" s="58">
        <f t="shared" si="14"/>
        <v>0</v>
      </c>
      <c r="I45" s="10" t="str">
        <f>IF(ISNA(VLOOKUP(B45,'[2]131'!$B$4:$B$26,1,0)),"","x")</f>
        <v/>
      </c>
    </row>
    <row r="46" spans="1:9" s="10" customFormat="1" ht="16.5" customHeight="1">
      <c r="A46" s="6">
        <f t="shared" si="6"/>
        <v>43</v>
      </c>
      <c r="B46" s="207" t="s">
        <v>1366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58">
        <f t="shared" si="13"/>
        <v>0</v>
      </c>
      <c r="H46" s="58">
        <f t="shared" si="14"/>
        <v>0</v>
      </c>
      <c r="I46" s="10" t="str">
        <f>IF(ISNA(VLOOKUP(B46,'[2]131'!$B$4:$B$26,1,0)),"","x")</f>
        <v/>
      </c>
    </row>
    <row r="47" spans="1:9" s="10" customFormat="1" ht="16.5" customHeight="1">
      <c r="A47" s="6">
        <f t="shared" si="6"/>
        <v>44</v>
      </c>
      <c r="B47" s="207" t="s">
        <v>1387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58">
        <f t="shared" si="13"/>
        <v>0</v>
      </c>
      <c r="H47" s="58">
        <f t="shared" si="14"/>
        <v>0</v>
      </c>
      <c r="I47" s="10" t="str">
        <f>IF(ISNA(VLOOKUP(B47,'[2]131'!$B$4:$B$26,1,0)),"","x")</f>
        <v/>
      </c>
    </row>
    <row r="48" spans="1:9" s="10" customFormat="1" ht="16.5" customHeight="1">
      <c r="A48" s="6">
        <f t="shared" si="6"/>
        <v>45</v>
      </c>
      <c r="B48" s="207" t="s">
        <v>1394</v>
      </c>
      <c r="C48" s="8"/>
      <c r="D48" s="8"/>
      <c r="E48" s="8">
        <f t="array" ref="E48">SUM(IF("131"&amp;B48=KHN&amp;KH,TH))</f>
        <v>22267475</v>
      </c>
      <c r="F48" s="8">
        <f t="array" ref="F48">SUM(IF("131"&amp;B48=KHC&amp;KH,TH))</f>
        <v>0</v>
      </c>
      <c r="G48" s="58">
        <f t="shared" ref="G48:G49" si="15">ROUND(MAX(C48+E48-D48-F48,0),2)</f>
        <v>22267475</v>
      </c>
      <c r="H48" s="58">
        <f t="shared" ref="H48:H49" si="16">ROUND(MAX(D48+F48-C48-E48,0),2)</f>
        <v>0</v>
      </c>
      <c r="I48" s="10" t="str">
        <f>IF(ISNA(VLOOKUP(B48,'[2]131'!$B$4:$B$26,1,0)),"","x")</f>
        <v/>
      </c>
    </row>
    <row r="49" spans="1:9" s="10" customFormat="1" ht="16.5" customHeight="1">
      <c r="A49" s="6">
        <f t="shared" si="6"/>
        <v>46</v>
      </c>
      <c r="B49" s="207" t="s">
        <v>1434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58">
        <f t="shared" si="15"/>
        <v>0</v>
      </c>
      <c r="H49" s="58">
        <f t="shared" si="16"/>
        <v>0</v>
      </c>
      <c r="I49" s="10" t="str">
        <f>IF(ISNA(VLOOKUP(B49,'[2]131'!$B$4:$B$26,1,0)),"","x")</f>
        <v/>
      </c>
    </row>
    <row r="50" spans="1:9" s="10" customFormat="1" ht="16.5" customHeight="1">
      <c r="A50" s="6" t="str">
        <f t="shared" si="6"/>
        <v/>
      </c>
      <c r="B50" s="45"/>
      <c r="C50" s="8"/>
      <c r="D50" s="8"/>
      <c r="E50" s="8"/>
      <c r="F50" s="8"/>
      <c r="G50" s="58"/>
      <c r="H50" s="58"/>
    </row>
    <row r="51" spans="1:9" s="14" customFormat="1" ht="14.25" customHeight="1">
      <c r="A51" s="11"/>
      <c r="B51" s="12" t="s">
        <v>39</v>
      </c>
      <c r="C51" s="13">
        <f>SUM(C4:C50)</f>
        <v>0</v>
      </c>
      <c r="D51" s="13">
        <f t="shared" ref="D51:H51" si="17">SUM(D4:D50)</f>
        <v>0</v>
      </c>
      <c r="E51" s="13">
        <f t="shared" si="17"/>
        <v>1108840240</v>
      </c>
      <c r="F51" s="13">
        <f t="shared" si="17"/>
        <v>1664685138</v>
      </c>
      <c r="G51" s="13">
        <f t="shared" si="17"/>
        <v>117695338</v>
      </c>
      <c r="H51" s="13">
        <f t="shared" si="17"/>
        <v>673540236</v>
      </c>
    </row>
    <row r="53" spans="1:9">
      <c r="E53" s="15">
        <f>CDPS!E14</f>
        <v>1108840240</v>
      </c>
      <c r="F53" s="15">
        <f>CDPS!F14</f>
        <v>1664685138</v>
      </c>
    </row>
    <row r="55" spans="1:9">
      <c r="E55" s="192">
        <f>E51-E53</f>
        <v>0</v>
      </c>
      <c r="F55" s="192">
        <f>F51-F53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7" customFormat="1" ht="14.25" customHeight="1">
      <c r="A1" s="722" t="str">
        <f>TH!A1</f>
        <v>Đơn vị: CÔNG TY TNHH HẢI SẢN AN LẠC</v>
      </c>
      <c r="B1" s="707"/>
      <c r="C1" s="707"/>
      <c r="G1" s="2"/>
      <c r="H1" s="1005" t="s">
        <v>47</v>
      </c>
      <c r="I1" s="1005"/>
      <c r="J1" s="1005"/>
    </row>
    <row r="2" spans="1:10" s="557" customFormat="1" ht="14.25" customHeight="1">
      <c r="A2" s="721" t="str">
        <f>TH!A2</f>
        <v>Địa chỉ: Lô A14, Đường 4A, KCN Hải Sơn, Đức Hòa, Long An</v>
      </c>
      <c r="B2" s="707"/>
      <c r="C2" s="707"/>
      <c r="G2" s="17"/>
      <c r="H2" s="1006" t="s">
        <v>48</v>
      </c>
      <c r="I2" s="1006"/>
      <c r="J2" s="1006"/>
    </row>
    <row r="3" spans="1:10" s="557" customFormat="1" ht="14.25" customHeight="1">
      <c r="A3" s="709"/>
      <c r="B3" s="707"/>
      <c r="C3" s="707"/>
      <c r="G3" s="17"/>
      <c r="H3" s="1006"/>
      <c r="I3" s="1006"/>
      <c r="J3" s="1006"/>
    </row>
    <row r="4" spans="1:10" s="5" customFormat="1" ht="28.5" customHeight="1">
      <c r="A4" s="1007" t="s">
        <v>26</v>
      </c>
      <c r="B4" s="1007"/>
      <c r="C4" s="1007"/>
      <c r="D4" s="1007"/>
      <c r="E4" s="1007"/>
      <c r="F4" s="1007"/>
      <c r="G4" s="1007"/>
      <c r="H4" s="1007"/>
      <c r="I4" s="1007"/>
      <c r="J4" s="1007"/>
    </row>
    <row r="5" spans="1:10" s="18" customFormat="1" ht="14.25" customHeight="1">
      <c r="E5" s="705" t="s">
        <v>27</v>
      </c>
    </row>
    <row r="6" spans="1:10" s="18" customFormat="1" ht="14.25" customHeight="1">
      <c r="E6" s="705" t="s">
        <v>420</v>
      </c>
    </row>
    <row r="7" spans="1:10" s="18" customFormat="1" ht="14.25" customHeight="1">
      <c r="D7" s="20" t="s">
        <v>46</v>
      </c>
      <c r="E7" s="1008" t="s">
        <v>415</v>
      </c>
      <c r="F7" s="1008"/>
      <c r="G7" s="1008"/>
      <c r="H7" s="1008"/>
    </row>
    <row r="8" spans="1:10" s="18" customFormat="1" ht="14.25" customHeight="1">
      <c r="E8" s="705" t="s">
        <v>29</v>
      </c>
    </row>
    <row r="9" spans="1:10" s="18" customFormat="1" ht="6.75" customHeight="1">
      <c r="B9" s="705"/>
      <c r="C9" s="1009"/>
      <c r="D9" s="1009"/>
      <c r="E9" s="1009"/>
      <c r="F9" s="1009"/>
      <c r="G9" s="1009"/>
      <c r="H9" s="1009"/>
      <c r="I9" s="1009"/>
      <c r="J9" s="1009"/>
    </row>
    <row r="10" spans="1:10" s="18" customFormat="1" ht="14.25" customHeight="1">
      <c r="A10" s="975" t="s">
        <v>20</v>
      </c>
      <c r="B10" s="1010" t="s">
        <v>1</v>
      </c>
      <c r="C10" s="1010"/>
      <c r="D10" s="975" t="s">
        <v>0</v>
      </c>
      <c r="E10" s="975" t="s">
        <v>14</v>
      </c>
      <c r="F10" s="975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11" t="s">
        <v>2</v>
      </c>
      <c r="B12" s="712" t="s">
        <v>3</v>
      </c>
      <c r="C12" s="711" t="s">
        <v>4</v>
      </c>
      <c r="D12" s="711" t="s">
        <v>5</v>
      </c>
      <c r="E12" s="711" t="s">
        <v>6</v>
      </c>
      <c r="F12" s="711">
        <v>1</v>
      </c>
      <c r="G12" s="711">
        <v>2</v>
      </c>
      <c r="H12" s="711">
        <v>3</v>
      </c>
      <c r="I12" s="711">
        <v>4</v>
      </c>
      <c r="J12" s="711">
        <v>5</v>
      </c>
    </row>
    <row r="13" spans="1:10" s="18" customFormat="1" ht="18" customHeight="1">
      <c r="A13" s="711"/>
      <c r="B13" s="711"/>
      <c r="C13" s="711"/>
      <c r="D13" s="23" t="s">
        <v>7</v>
      </c>
      <c r="E13" s="711"/>
      <c r="F13" s="24"/>
      <c r="G13" s="24"/>
      <c r="H13" s="24"/>
      <c r="I13" s="50" t="e">
        <f>VLOOKUP($E$7,'131'!$B$4:$H$50,2,0)</f>
        <v>#N/A</v>
      </c>
      <c r="J13" s="50" t="e">
        <f>VLOOKUP($E$7,'131'!$B$4:$H$50,3,0)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11"/>
      <c r="C32" s="26"/>
      <c r="D32" s="23" t="s">
        <v>33</v>
      </c>
      <c r="E32" s="711" t="s">
        <v>19</v>
      </c>
      <c r="F32" s="71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11"/>
      <c r="C33" s="711"/>
      <c r="D33" s="23" t="s">
        <v>10</v>
      </c>
      <c r="E33" s="711" t="s">
        <v>19</v>
      </c>
      <c r="F33" s="71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05"/>
      <c r="C34" s="705"/>
      <c r="E34" s="705"/>
    </row>
    <row r="35" spans="1:11" s="18" customFormat="1" ht="14.25" customHeight="1">
      <c r="A35" s="28" t="s">
        <v>168</v>
      </c>
      <c r="B35" s="705"/>
      <c r="C35" s="705"/>
      <c r="E35" s="705"/>
      <c r="K35" s="28" t="s">
        <v>168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05"/>
      <c r="C36" s="705"/>
      <c r="E36" s="705"/>
      <c r="K36" s="28" t="s">
        <v>34</v>
      </c>
    </row>
    <row r="37" spans="1:11" s="18" customFormat="1" ht="14.25" customHeight="1">
      <c r="B37" s="705"/>
      <c r="C37" s="705"/>
      <c r="E37" s="963" t="s">
        <v>152</v>
      </c>
      <c r="F37" s="963"/>
      <c r="G37" s="963"/>
      <c r="H37" s="963"/>
      <c r="I37" s="963"/>
      <c r="J37" s="963"/>
    </row>
    <row r="38" spans="1:11" s="18" customFormat="1" ht="14.25" customHeight="1">
      <c r="C38" s="705" t="s">
        <v>11</v>
      </c>
      <c r="E38" s="963" t="s">
        <v>12</v>
      </c>
      <c r="F38" s="963"/>
      <c r="G38" s="963"/>
      <c r="H38" s="963"/>
      <c r="I38" s="963"/>
      <c r="J38" s="963"/>
    </row>
    <row r="39" spans="1:11" s="18" customFormat="1" ht="14.25" customHeight="1">
      <c r="C39" s="705" t="s">
        <v>13</v>
      </c>
      <c r="E39" s="963" t="s">
        <v>13</v>
      </c>
      <c r="F39" s="963"/>
      <c r="G39" s="963"/>
      <c r="H39" s="963"/>
      <c r="I39" s="963"/>
      <c r="J39" s="963"/>
    </row>
    <row r="40" spans="1:11" s="29" customFormat="1"/>
    <row r="46" spans="1:11" ht="15">
      <c r="C46" s="706" t="s">
        <v>167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996" t="s">
        <v>106</v>
      </c>
      <c r="B1" s="996"/>
      <c r="C1" s="996"/>
      <c r="D1" s="996"/>
      <c r="E1" s="996"/>
      <c r="F1" s="996"/>
      <c r="G1" s="996"/>
      <c r="H1" s="996"/>
    </row>
    <row r="2" spans="1:9" s="10" customFormat="1" ht="14.25" customHeight="1">
      <c r="A2" s="997" t="s">
        <v>35</v>
      </c>
      <c r="B2" s="999" t="s">
        <v>36</v>
      </c>
      <c r="C2" s="1001" t="s">
        <v>37</v>
      </c>
      <c r="D2" s="1002"/>
      <c r="E2" s="1001" t="s">
        <v>38</v>
      </c>
      <c r="F2" s="1002"/>
      <c r="G2" s="1001" t="s">
        <v>42</v>
      </c>
      <c r="H2" s="1002"/>
    </row>
    <row r="3" spans="1:9" s="10" customFormat="1" ht="14.25" customHeight="1">
      <c r="A3" s="998"/>
      <c r="B3" s="1000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696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460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461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481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487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893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880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630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992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1029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573"/>
      <c r="F14" s="573"/>
      <c r="G14" s="574"/>
      <c r="H14" s="574"/>
      <c r="I14" s="575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248654760</v>
      </c>
      <c r="F15" s="13">
        <f t="shared" si="9"/>
        <v>2863483379</v>
      </c>
      <c r="G15" s="13">
        <f t="shared" si="9"/>
        <v>0</v>
      </c>
      <c r="H15" s="13">
        <f t="shared" si="9"/>
        <v>2614828619</v>
      </c>
    </row>
    <row r="17" spans="5:6">
      <c r="E17" s="15">
        <f>CDPS!E35</f>
        <v>1898375238</v>
      </c>
      <c r="F17" s="15">
        <f>CDPS!F35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22" t="str">
        <f>TH!A1</f>
        <v>Đơn vị: CÔNG TY TNHH HẢI SẢN AN LẠC</v>
      </c>
      <c r="B1" s="16"/>
      <c r="C1" s="16"/>
      <c r="G1" s="2"/>
      <c r="H1" s="1005" t="s">
        <v>47</v>
      </c>
      <c r="I1" s="1005"/>
      <c r="J1" s="1005"/>
    </row>
    <row r="2" spans="1:10" s="3" customFormat="1" ht="14.25" customHeight="1">
      <c r="A2" s="721" t="str">
        <f>TH!A2</f>
        <v>Địa chỉ: Lô A14, Đường 4A, KCN Hải Sơn, Đức Hòa, Long An</v>
      </c>
      <c r="B2" s="16"/>
      <c r="C2" s="16"/>
      <c r="G2" s="17"/>
      <c r="H2" s="1006" t="s">
        <v>48</v>
      </c>
      <c r="I2" s="1006"/>
      <c r="J2" s="1006"/>
    </row>
    <row r="3" spans="1:10" s="3" customFormat="1" ht="14.25" customHeight="1">
      <c r="A3" s="4"/>
      <c r="B3" s="16"/>
      <c r="C3" s="16"/>
      <c r="G3" s="17"/>
      <c r="H3" s="1006"/>
      <c r="I3" s="1006"/>
      <c r="J3" s="1006"/>
    </row>
    <row r="4" spans="1:10" s="5" customFormat="1" ht="28.5" customHeight="1">
      <c r="A4" s="1007" t="s">
        <v>26</v>
      </c>
      <c r="B4" s="1007"/>
      <c r="C4" s="1007"/>
      <c r="D4" s="1007"/>
      <c r="E4" s="1007"/>
      <c r="F4" s="1007"/>
      <c r="G4" s="1007"/>
      <c r="H4" s="1007"/>
      <c r="I4" s="1007"/>
      <c r="J4" s="100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08" t="s">
        <v>696</v>
      </c>
      <c r="F7" s="1008"/>
      <c r="G7" s="1008"/>
      <c r="H7" s="100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9"/>
      <c r="D9" s="1009"/>
      <c r="E9" s="1009"/>
      <c r="F9" s="1009"/>
      <c r="G9" s="1009"/>
      <c r="H9" s="1009"/>
      <c r="I9" s="1009"/>
      <c r="J9" s="1009"/>
    </row>
    <row r="10" spans="1:10" s="18" customFormat="1" ht="14.25" customHeight="1">
      <c r="A10" s="975" t="s">
        <v>20</v>
      </c>
      <c r="B10" s="1010" t="s">
        <v>1</v>
      </c>
      <c r="C10" s="1010"/>
      <c r="D10" s="975" t="s">
        <v>0</v>
      </c>
      <c r="E10" s="975" t="s">
        <v>14</v>
      </c>
      <c r="F10" s="975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881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168</v>
      </c>
      <c r="B35" s="19"/>
      <c r="C35" s="19"/>
      <c r="E35" s="19"/>
      <c r="K35" s="28" t="s">
        <v>168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63" t="s">
        <v>152</v>
      </c>
      <c r="F37" s="963"/>
      <c r="G37" s="963"/>
      <c r="H37" s="963"/>
      <c r="I37" s="963"/>
      <c r="J37" s="963"/>
    </row>
    <row r="38" spans="1:11" s="18" customFormat="1" ht="14.25" customHeight="1">
      <c r="C38" s="229" t="s">
        <v>11</v>
      </c>
      <c r="E38" s="963" t="s">
        <v>12</v>
      </c>
      <c r="F38" s="963"/>
      <c r="G38" s="963"/>
      <c r="H38" s="963"/>
      <c r="I38" s="963"/>
      <c r="J38" s="963"/>
    </row>
    <row r="39" spans="1:11" s="18" customFormat="1" ht="14.25" customHeight="1">
      <c r="C39" s="229" t="s">
        <v>13</v>
      </c>
      <c r="E39" s="963" t="s">
        <v>13</v>
      </c>
      <c r="F39" s="963"/>
      <c r="G39" s="963"/>
      <c r="H39" s="963"/>
      <c r="I39" s="963"/>
      <c r="J39" s="963"/>
    </row>
    <row r="40" spans="1:11" s="29" customFormat="1"/>
    <row r="46" spans="1:11" ht="15">
      <c r="C46" s="240" t="s">
        <v>167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2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996" t="s">
        <v>153</v>
      </c>
      <c r="B1" s="996"/>
      <c r="C1" s="996"/>
      <c r="D1" s="996"/>
      <c r="E1" s="996"/>
      <c r="F1" s="996"/>
      <c r="G1" s="996"/>
      <c r="H1" s="996"/>
      <c r="I1" s="996"/>
      <c r="J1" s="996"/>
    </row>
    <row r="2" spans="1:10" s="10" customFormat="1" ht="15.75" customHeight="1">
      <c r="A2" s="997" t="s">
        <v>35</v>
      </c>
      <c r="B2" s="999" t="s">
        <v>154</v>
      </c>
      <c r="C2" s="999" t="s">
        <v>155</v>
      </c>
      <c r="D2" s="999" t="s">
        <v>156</v>
      </c>
      <c r="E2" s="1001" t="s">
        <v>37</v>
      </c>
      <c r="F2" s="1002"/>
      <c r="G2" s="1001" t="s">
        <v>38</v>
      </c>
      <c r="H2" s="1002"/>
      <c r="I2" s="1001" t="s">
        <v>42</v>
      </c>
      <c r="J2" s="1002"/>
    </row>
    <row r="3" spans="1:10" s="10" customFormat="1" ht="15.75" customHeight="1">
      <c r="A3" s="998"/>
      <c r="B3" s="1000"/>
      <c r="C3" s="1000"/>
      <c r="D3" s="1000"/>
      <c r="E3" s="710" t="s">
        <v>43</v>
      </c>
      <c r="F3" s="710" t="s">
        <v>44</v>
      </c>
      <c r="G3" s="710" t="s">
        <v>43</v>
      </c>
      <c r="H3" s="710" t="s">
        <v>44</v>
      </c>
      <c r="I3" s="710" t="s">
        <v>43</v>
      </c>
      <c r="J3" s="710" t="s">
        <v>44</v>
      </c>
    </row>
    <row r="4" spans="1:10" s="10" customFormat="1" ht="18" customHeight="1">
      <c r="A4" s="558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558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558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558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558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558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558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558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558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558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558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558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CDPS!$H$51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9" sqref="H9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18" customFormat="1" ht="16.5" customHeight="1">
      <c r="A1" s="767" t="str">
        <f>TH!A1</f>
        <v>Đơn vị: CÔNG TY TNHH HẢI SẢN AN LẠC</v>
      </c>
      <c r="B1" s="193"/>
      <c r="C1" s="193"/>
      <c r="G1" s="723"/>
      <c r="H1" s="724" t="s">
        <v>421</v>
      </c>
      <c r="I1" s="193"/>
      <c r="J1" s="193"/>
      <c r="M1" s="193"/>
      <c r="N1" s="193"/>
      <c r="O1" s="193"/>
    </row>
    <row r="2" spans="1:15" s="718" customFormat="1" ht="16.5" customHeight="1">
      <c r="A2" s="725" t="str">
        <f>TH!A2</f>
        <v>Địa chỉ: Lô A14, Đường 4A, KCN Hải Sơn, Đức Hòa, Long An</v>
      </c>
      <c r="B2" s="714"/>
      <c r="C2" s="714"/>
      <c r="G2" s="723"/>
      <c r="H2" s="718" t="s">
        <v>422</v>
      </c>
      <c r="I2" s="194"/>
      <c r="J2" s="194"/>
      <c r="M2" s="194"/>
      <c r="N2" s="194"/>
      <c r="O2" s="194"/>
    </row>
    <row r="3" spans="1:15" s="718" customFormat="1" ht="16.5" customHeight="1">
      <c r="A3" s="714"/>
      <c r="B3" s="714"/>
      <c r="C3" s="714"/>
      <c r="G3" s="723"/>
      <c r="H3" s="718" t="s">
        <v>423</v>
      </c>
      <c r="I3" s="194"/>
      <c r="J3" s="194"/>
      <c r="M3" s="194"/>
      <c r="N3" s="194"/>
      <c r="O3" s="194"/>
    </row>
    <row r="4" spans="1:15" s="718" customFormat="1" ht="16.5" customHeight="1">
      <c r="A4" s="714"/>
      <c r="B4" s="714"/>
      <c r="C4" s="714"/>
      <c r="G4" s="723"/>
      <c r="I4" s="194"/>
      <c r="J4" s="194"/>
      <c r="K4" s="715"/>
      <c r="L4" s="715"/>
      <c r="M4" s="715"/>
      <c r="N4" s="715"/>
      <c r="O4" s="715"/>
    </row>
    <row r="5" spans="1:15" s="18" customFormat="1" ht="23.25" customHeight="1">
      <c r="B5" s="768"/>
      <c r="C5" s="768"/>
      <c r="D5" s="768"/>
      <c r="F5" s="717" t="s">
        <v>424</v>
      </c>
      <c r="G5" s="768"/>
      <c r="H5" s="768"/>
      <c r="I5" s="768"/>
      <c r="J5" s="726"/>
      <c r="K5" s="726"/>
      <c r="L5" s="726"/>
      <c r="M5" s="726"/>
      <c r="N5" s="726"/>
      <c r="O5" s="726"/>
    </row>
    <row r="6" spans="1:15" s="18" customFormat="1">
      <c r="B6" s="726"/>
      <c r="C6" s="726"/>
      <c r="D6" s="726"/>
      <c r="F6" s="732" t="s">
        <v>425</v>
      </c>
      <c r="G6" s="726"/>
      <c r="H6" s="726"/>
      <c r="I6" s="726"/>
    </row>
    <row r="7" spans="1:15" s="18" customFormat="1">
      <c r="F7" s="769" t="s">
        <v>426</v>
      </c>
      <c r="G7" s="728"/>
    </row>
    <row r="8" spans="1:15" s="18" customFormat="1" ht="15" customHeight="1">
      <c r="F8" s="769" t="s">
        <v>427</v>
      </c>
      <c r="G8" s="728"/>
    </row>
    <row r="9" spans="1:15" s="18" customFormat="1">
      <c r="A9" s="713"/>
      <c r="B9" s="713"/>
      <c r="C9" s="713"/>
      <c r="E9" s="716" t="s">
        <v>428</v>
      </c>
      <c r="F9" s="1011" t="s">
        <v>403</v>
      </c>
      <c r="G9" s="1011"/>
      <c r="H9" s="713" t="e">
        <f>"ngày: "&amp;TEXT(VLOOKUP($F$9,'341'!$B$4:$J$15,2,0),"dd/MM/yy")</f>
        <v>#N/A</v>
      </c>
      <c r="I9" s="727"/>
      <c r="M9" s="713"/>
      <c r="N9" s="713"/>
      <c r="O9" s="713"/>
    </row>
    <row r="10" spans="1:15" s="18" customFormat="1">
      <c r="E10" s="728" t="s">
        <v>429</v>
      </c>
      <c r="F10" s="729"/>
      <c r="G10" s="730"/>
    </row>
    <row r="11" spans="1:15" s="18" customFormat="1" ht="6" customHeight="1">
      <c r="C11" s="728"/>
      <c r="D11" s="728"/>
      <c r="E11" s="728"/>
      <c r="F11" s="728"/>
      <c r="G11" s="728"/>
      <c r="H11" s="728"/>
      <c r="I11" s="728"/>
      <c r="J11" s="728"/>
      <c r="K11" s="728"/>
      <c r="L11" s="728"/>
      <c r="M11" s="728"/>
      <c r="N11" s="728"/>
      <c r="O11" s="728"/>
    </row>
    <row r="12" spans="1:15" s="732" customFormat="1" ht="24.75" customHeight="1">
      <c r="A12" s="1012" t="s">
        <v>430</v>
      </c>
      <c r="B12" s="1014" t="s">
        <v>1</v>
      </c>
      <c r="C12" s="1015"/>
      <c r="D12" s="1021" t="s">
        <v>0</v>
      </c>
      <c r="E12" s="1022"/>
      <c r="F12" s="1012" t="s">
        <v>14</v>
      </c>
      <c r="G12" s="1016" t="s">
        <v>431</v>
      </c>
      <c r="H12" s="1020" t="s">
        <v>146</v>
      </c>
      <c r="I12" s="1020"/>
      <c r="J12" s="731"/>
      <c r="K12" s="731"/>
      <c r="L12" s="731"/>
      <c r="M12" s="731"/>
      <c r="N12" s="731"/>
      <c r="O12" s="731"/>
    </row>
    <row r="13" spans="1:15" s="732" customFormat="1" ht="24.75" customHeight="1">
      <c r="A13" s="1013"/>
      <c r="B13" s="733" t="s">
        <v>15</v>
      </c>
      <c r="C13" s="733" t="s">
        <v>32</v>
      </c>
      <c r="D13" s="1023"/>
      <c r="E13" s="1024"/>
      <c r="F13" s="1013"/>
      <c r="G13" s="1017"/>
      <c r="H13" s="734" t="s">
        <v>22</v>
      </c>
      <c r="I13" s="734" t="s">
        <v>23</v>
      </c>
      <c r="J13" s="735"/>
      <c r="K13" s="735"/>
      <c r="L13" s="735"/>
      <c r="M13" s="735"/>
      <c r="N13" s="735"/>
      <c r="O13" s="735"/>
    </row>
    <row r="14" spans="1:15" s="741" customFormat="1" ht="12" customHeight="1">
      <c r="A14" s="736" t="s">
        <v>2</v>
      </c>
      <c r="B14" s="737" t="s">
        <v>3</v>
      </c>
      <c r="C14" s="738" t="s">
        <v>4</v>
      </c>
      <c r="D14" s="1025" t="s">
        <v>5</v>
      </c>
      <c r="E14" s="1026"/>
      <c r="F14" s="738" t="s">
        <v>6</v>
      </c>
      <c r="G14" s="739" t="s">
        <v>138</v>
      </c>
      <c r="H14" s="738">
        <v>2</v>
      </c>
      <c r="I14" s="738">
        <v>3</v>
      </c>
      <c r="J14" s="740"/>
      <c r="K14" s="740"/>
      <c r="L14" s="740"/>
      <c r="M14" s="740"/>
      <c r="N14" s="740"/>
      <c r="O14" s="740"/>
    </row>
    <row r="15" spans="1:15" s="726" customFormat="1" ht="23.25" customHeight="1">
      <c r="A15" s="742"/>
      <c r="B15" s="742"/>
      <c r="C15" s="742"/>
      <c r="D15" s="1027" t="s">
        <v>7</v>
      </c>
      <c r="E15" s="1028"/>
      <c r="F15" s="743"/>
      <c r="G15" s="744"/>
      <c r="H15" s="745" t="e">
        <f>VLOOKUP($F$9,'341'!$B$4:$J$15,4,0)</f>
        <v>#N/A</v>
      </c>
      <c r="I15" s="745" t="e">
        <f>VLOOKUP($F$9,'341'!$B$4:$J$15,5,0)</f>
        <v>#N/A</v>
      </c>
      <c r="J15" s="746"/>
      <c r="K15" s="746"/>
      <c r="L15" s="747"/>
      <c r="M15" s="748"/>
      <c r="N15" s="747"/>
      <c r="O15" s="748"/>
    </row>
    <row r="16" spans="1:15" s="18" customFormat="1" ht="23.25" customHeight="1">
      <c r="A16" s="213" t="str">
        <f ca="1">IF(ROWS($1:1)&gt;COUNT(Dong4),"",OFFSET(TH!C$1,SMALL(Dong4,ROWS($1:1)),))</f>
        <v/>
      </c>
      <c r="B16" s="749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18" t="str">
        <f ca="1">IF(ROWS($1:1)&gt;COUNT(Dong4),"",OFFSET(TH!F$1,SMALL(Dong4,ROWS($1:1)),))</f>
        <v/>
      </c>
      <c r="E16" s="1019"/>
      <c r="F16" s="750" t="str">
        <f ca="1">IF(ROWS($1:1)&gt;COUNT(Dong4),"",IF(LEFT(OFFSET(TH!M$1,SMALL(Dong4,ROWS($1:1)),),3)="341",OFFSET(TH!L$1,SMALL(Dong4,ROWS($1:1)),),OFFSET(TH!M$1,SMALL(Dong4,ROWS($1:1)),)))</f>
        <v/>
      </c>
      <c r="G16" s="770"/>
      <c r="H16" s="568" t="str">
        <f ca="1">IF(ROWS($1:1)&gt;COUNT(Dong4),"",IF(LEFT(OFFSET(TH!L$1,SMALL(Dong4,ROWS($1:1)),),3)="341",OFFSET(TH!K$1,SMALL(Dong4,ROWS($1:1)),),0))</f>
        <v/>
      </c>
      <c r="I16" s="568" t="str">
        <f ca="1">IF(ROWS($1:1)&gt;COUNT(Dong4),"",IF(LEFT(OFFSET(TH!M$1,SMALL(Dong4,ROWS($1:1)),),3)="341",OFFSET(TH!K$1,SMALL(Dong4,ROWS($1:1)),),0))</f>
        <v/>
      </c>
      <c r="J16" s="751"/>
      <c r="K16" s="752"/>
      <c r="L16" s="751"/>
      <c r="M16" s="752"/>
      <c r="N16" s="751"/>
      <c r="O16" s="752"/>
    </row>
    <row r="17" spans="1:15" s="18" customFormat="1" ht="23.25" customHeight="1">
      <c r="A17" s="213" t="str">
        <f ca="1">IF(ROWS($1:2)&gt;COUNT(Dong4),"",OFFSET(TH!C$1,SMALL(Dong4,ROWS($1:2)),))</f>
        <v/>
      </c>
      <c r="B17" s="749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18" t="str">
        <f ca="1">IF(ROWS($1:2)&gt;COUNT(Dong4),"",OFFSET(TH!F$1,SMALL(Dong4,ROWS($1:2)),))</f>
        <v/>
      </c>
      <c r="E17" s="1019"/>
      <c r="F17" s="750" t="str">
        <f ca="1">IF(ROWS($1:2)&gt;COUNT(Dong4),"",IF(LEFT(OFFSET(TH!M$1,SMALL(Dong4,ROWS($1:2)),),3)="341",OFFSET(TH!L$1,SMALL(Dong4,ROWS($1:2)),),OFFSET(TH!M$1,SMALL(Dong4,ROWS($1:2)),)))</f>
        <v/>
      </c>
      <c r="G17" s="770"/>
      <c r="H17" s="568" t="str">
        <f ca="1">IF(ROWS($1:2)&gt;COUNT(Dong4),"",IF(LEFT(OFFSET(TH!L$1,SMALL(Dong4,ROWS($1:2)),),3)="341",OFFSET(TH!K$1,SMALL(Dong4,ROWS($1:2)),),0))</f>
        <v/>
      </c>
      <c r="I17" s="568" t="str">
        <f ca="1">IF(ROWS($1:2)&gt;COUNT(Dong4),"",IF(LEFT(OFFSET(TH!M$1,SMALL(Dong4,ROWS($1:2)),),3)="341",OFFSET(TH!K$1,SMALL(Dong4,ROWS($1:2)),),0))</f>
        <v/>
      </c>
      <c r="J17" s="751"/>
      <c r="K17" s="752"/>
      <c r="L17" s="751"/>
      <c r="M17" s="752"/>
      <c r="N17" s="751"/>
      <c r="O17" s="752"/>
    </row>
    <row r="18" spans="1:15" s="18" customFormat="1" ht="23.25" customHeight="1">
      <c r="A18" s="213" t="str">
        <f ca="1">IF(ROWS($1:3)&gt;COUNT(Dong4),"",OFFSET(TH!C$1,SMALL(Dong4,ROWS($1:3)),))</f>
        <v/>
      </c>
      <c r="B18" s="749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18" t="str">
        <f ca="1">IF(ROWS($1:3)&gt;COUNT(Dong4),"",OFFSET(TH!F$1,SMALL(Dong4,ROWS($1:3)),))</f>
        <v/>
      </c>
      <c r="E18" s="1019"/>
      <c r="F18" s="750" t="str">
        <f ca="1">IF(ROWS($1:3)&gt;COUNT(Dong4),"",IF(LEFT(OFFSET(TH!M$1,SMALL(Dong4,ROWS($1:3)),),3)="341",OFFSET(TH!L$1,SMALL(Dong4,ROWS($1:3)),),OFFSET(TH!M$1,SMALL(Dong4,ROWS($1:3)),)))</f>
        <v/>
      </c>
      <c r="G18" s="770"/>
      <c r="H18" s="568" t="str">
        <f ca="1">IF(ROWS($1:3)&gt;COUNT(Dong4),"",IF(LEFT(OFFSET(TH!L$1,SMALL(Dong4,ROWS($1:3)),),3)="341",OFFSET(TH!K$1,SMALL(Dong4,ROWS($1:3)),),0))</f>
        <v/>
      </c>
      <c r="I18" s="568" t="str">
        <f ca="1">IF(ROWS($1:3)&gt;COUNT(Dong4),"",IF(LEFT(OFFSET(TH!M$1,SMALL(Dong4,ROWS($1:3)),),3)="341",OFFSET(TH!K$1,SMALL(Dong4,ROWS($1:3)),),0))</f>
        <v/>
      </c>
      <c r="J18" s="751"/>
      <c r="K18" s="752"/>
      <c r="L18" s="751"/>
      <c r="M18" s="752"/>
      <c r="N18" s="751"/>
      <c r="O18" s="752"/>
    </row>
    <row r="19" spans="1:15" s="18" customFormat="1" ht="23.25" customHeight="1">
      <c r="A19" s="213" t="str">
        <f ca="1">IF(ROWS($1:3)&gt;COUNT(Dong4),"",OFFSET(TH!C$1,SMALL(Dong4,ROWS($1:3)),))</f>
        <v/>
      </c>
      <c r="B19" s="749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18" t="str">
        <f ca="1">IF(ROWS($1:3)&gt;COUNT(Dong4),"",OFFSET(TH!F$1,SMALL(Dong4,ROWS($1:3)),))</f>
        <v/>
      </c>
      <c r="E19" s="1019"/>
      <c r="F19" s="750" t="str">
        <f ca="1">IF(ROWS($1:3)&gt;COUNT(Dong4),"",IF(LEFT(OFFSET(TH!M$1,SMALL(Dong4,ROWS($1:3)),),3)="341",OFFSET(TH!L$1,SMALL(Dong4,ROWS($1:3)),),OFFSET(TH!M$1,SMALL(Dong4,ROWS($1:3)),)))</f>
        <v/>
      </c>
      <c r="G19" s="770"/>
      <c r="H19" s="568" t="str">
        <f ca="1">IF(ROWS($1:3)&gt;COUNT(Dong4),"",IF(LEFT(OFFSET(TH!L$1,SMALL(Dong4,ROWS($1:3)),),3)="341",OFFSET(TH!K$1,SMALL(Dong4,ROWS($1:3)),),0))</f>
        <v/>
      </c>
      <c r="I19" s="568" t="str">
        <f ca="1">IF(ROWS($1:3)&gt;COUNT(Dong4),"",IF(LEFT(OFFSET(TH!M$1,SMALL(Dong4,ROWS($1:3)),),3)="341",OFFSET(TH!K$1,SMALL(Dong4,ROWS($1:3)),),0))</f>
        <v/>
      </c>
      <c r="J19" s="728"/>
      <c r="K19" s="728"/>
      <c r="L19" s="751"/>
      <c r="M19" s="752"/>
      <c r="N19" s="753"/>
      <c r="O19" s="752"/>
    </row>
    <row r="20" spans="1:15" s="726" customFormat="1" ht="23.25" customHeight="1">
      <c r="A20" s="754"/>
      <c r="B20" s="754"/>
      <c r="C20" s="754"/>
      <c r="D20" s="755" t="s">
        <v>33</v>
      </c>
      <c r="E20" s="755"/>
      <c r="F20" s="756" t="s">
        <v>19</v>
      </c>
      <c r="G20" s="757" t="s">
        <v>19</v>
      </c>
      <c r="H20" s="758">
        <f ca="1">SUM(H16:H19)</f>
        <v>0</v>
      </c>
      <c r="I20" s="759">
        <f ca="1">SUM(I16:I19)</f>
        <v>0</v>
      </c>
      <c r="J20" s="760"/>
      <c r="K20" s="761"/>
      <c r="L20" s="761"/>
      <c r="M20" s="746"/>
      <c r="N20" s="761"/>
      <c r="O20" s="761"/>
    </row>
    <row r="21" spans="1:15" s="726" customFormat="1" ht="23.25" customHeight="1">
      <c r="A21" s="762"/>
      <c r="B21" s="762"/>
      <c r="C21" s="762"/>
      <c r="D21" s="755" t="s">
        <v>10</v>
      </c>
      <c r="E21" s="755"/>
      <c r="F21" s="756" t="s">
        <v>19</v>
      </c>
      <c r="G21" s="757" t="s">
        <v>19</v>
      </c>
      <c r="H21" s="763" t="e">
        <f ca="1">IF(H15+H20-I20&gt;0,H15+H20-I20,0)</f>
        <v>#N/A</v>
      </c>
      <c r="I21" s="759" t="e">
        <f ca="1">IF(I15+I20-H20&gt;0,I15+I20-H20,0)</f>
        <v>#N/A</v>
      </c>
      <c r="J21" s="731"/>
      <c r="K21" s="731"/>
      <c r="L21" s="764"/>
      <c r="M21" s="761"/>
      <c r="N21" s="760"/>
      <c r="O21" s="761"/>
    </row>
    <row r="22" spans="1:15" s="18" customFormat="1">
      <c r="F22" s="713"/>
      <c r="G22" s="727"/>
    </row>
    <row r="23" spans="1:15" s="18" customFormat="1">
      <c r="A23" s="765" t="s">
        <v>432</v>
      </c>
      <c r="C23" s="196"/>
      <c r="F23" s="713"/>
      <c r="G23" s="727"/>
    </row>
    <row r="24" spans="1:15" s="18" customFormat="1">
      <c r="A24" s="765" t="e">
        <f ca="1">"- Ngày mở sổ: "&amp;DAY($A$16)&amp;"/"&amp;MONTH($A$16)&amp;"/"&amp;YEAR($A$16)</f>
        <v>#VALUE!</v>
      </c>
      <c r="C24" s="196"/>
      <c r="F24" s="713"/>
      <c r="G24" s="727"/>
    </row>
    <row r="25" spans="1:15" s="18" customFormat="1">
      <c r="F25" s="713"/>
      <c r="G25" s="727"/>
      <c r="H25" s="766" t="e">
        <f ca="1">"Ngày 31 tháng 12 năm "&amp;YEAR(A16)</f>
        <v>#VALUE!</v>
      </c>
    </row>
    <row r="26" spans="1:15" s="18" customFormat="1">
      <c r="C26" s="713" t="s">
        <v>11</v>
      </c>
      <c r="F26" s="713"/>
      <c r="G26" s="727"/>
      <c r="H26" s="713" t="s">
        <v>12</v>
      </c>
    </row>
    <row r="27" spans="1:15" s="18" customFormat="1">
      <c r="C27" s="713" t="s">
        <v>13</v>
      </c>
      <c r="F27" s="713"/>
      <c r="G27" s="727"/>
      <c r="H27" s="713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157</v>
      </c>
      <c r="C2" s="287"/>
      <c r="F2" s="288"/>
      <c r="G2" s="288"/>
      <c r="H2" s="288"/>
      <c r="I2" s="288"/>
      <c r="J2" s="288"/>
      <c r="K2" s="288" t="s">
        <v>212</v>
      </c>
      <c r="L2" s="288"/>
      <c r="M2" s="288"/>
      <c r="N2" s="288"/>
    </row>
    <row r="3" spans="1:14">
      <c r="A3" s="285" t="s">
        <v>159</v>
      </c>
      <c r="C3" s="287"/>
      <c r="F3" s="289"/>
      <c r="G3" s="289"/>
      <c r="H3" s="289"/>
      <c r="I3" s="289"/>
      <c r="J3" s="289"/>
      <c r="K3" s="289" t="s">
        <v>171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172</v>
      </c>
      <c r="L4" s="289"/>
      <c r="M4" s="289"/>
      <c r="N4" s="289"/>
    </row>
    <row r="5" spans="1:14" s="290" customFormat="1" ht="23.25" customHeight="1">
      <c r="A5" s="1037" t="s">
        <v>213</v>
      </c>
      <c r="B5" s="1037"/>
      <c r="C5" s="1037"/>
      <c r="D5" s="1037"/>
      <c r="E5" s="1037"/>
      <c r="F5" s="1037"/>
      <c r="G5" s="1037"/>
      <c r="H5" s="1037"/>
      <c r="I5" s="1037"/>
      <c r="J5" s="1037"/>
      <c r="K5" s="1037"/>
      <c r="L5" s="1037"/>
      <c r="M5" s="1037"/>
      <c r="N5" s="1037"/>
    </row>
    <row r="6" spans="1:14">
      <c r="A6" s="1038" t="s">
        <v>177</v>
      </c>
      <c r="B6" s="1038" t="s">
        <v>214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</row>
    <row r="7" spans="1:14">
      <c r="C7" s="1039"/>
      <c r="D7" s="1039"/>
      <c r="E7" s="1039"/>
      <c r="F7" s="1039"/>
      <c r="G7" s="1039"/>
      <c r="H7" s="1039"/>
      <c r="I7" s="1039"/>
      <c r="J7" s="1039"/>
      <c r="K7" s="1039"/>
      <c r="L7" s="1039"/>
      <c r="M7" s="1039"/>
      <c r="N7" s="1039"/>
    </row>
    <row r="8" spans="1:14" ht="15.75" customHeight="1">
      <c r="A8" s="1031" t="s">
        <v>20</v>
      </c>
      <c r="B8" s="1040" t="s">
        <v>1</v>
      </c>
      <c r="C8" s="1041"/>
      <c r="D8" s="1031" t="s">
        <v>0</v>
      </c>
      <c r="E8" s="1031" t="s">
        <v>14</v>
      </c>
      <c r="F8" s="1030" t="s">
        <v>21</v>
      </c>
      <c r="G8" s="1030"/>
      <c r="H8" s="1030"/>
      <c r="I8" s="1030"/>
      <c r="J8" s="1030"/>
      <c r="K8" s="1030"/>
      <c r="L8" s="1030" t="s">
        <v>31</v>
      </c>
      <c r="M8" s="1030"/>
      <c r="N8" s="1030"/>
    </row>
    <row r="9" spans="1:14" ht="15.75" customHeight="1">
      <c r="A9" s="1031"/>
      <c r="B9" s="1042"/>
      <c r="C9" s="1043"/>
      <c r="D9" s="1031"/>
      <c r="E9" s="1031"/>
      <c r="F9" s="1030" t="s">
        <v>215</v>
      </c>
      <c r="G9" s="1030"/>
      <c r="H9" s="1030"/>
      <c r="I9" s="1030" t="s">
        <v>216</v>
      </c>
      <c r="J9" s="1030"/>
      <c r="K9" s="1030"/>
      <c r="L9" s="1031" t="s">
        <v>217</v>
      </c>
      <c r="M9" s="1031" t="s">
        <v>218</v>
      </c>
      <c r="N9" s="1031" t="s">
        <v>219</v>
      </c>
    </row>
    <row r="10" spans="1:14" ht="15.75" customHeight="1">
      <c r="A10" s="1031"/>
      <c r="B10" s="1033" t="s">
        <v>15</v>
      </c>
      <c r="C10" s="1033" t="s">
        <v>32</v>
      </c>
      <c r="D10" s="1031"/>
      <c r="E10" s="1031"/>
      <c r="F10" s="1035" t="s">
        <v>217</v>
      </c>
      <c r="G10" s="1035" t="s">
        <v>218</v>
      </c>
      <c r="H10" s="1035" t="s">
        <v>219</v>
      </c>
      <c r="I10" s="1035" t="s">
        <v>217</v>
      </c>
      <c r="J10" s="1035" t="s">
        <v>218</v>
      </c>
      <c r="K10" s="1035" t="s">
        <v>219</v>
      </c>
      <c r="L10" s="1032"/>
      <c r="M10" s="1032"/>
      <c r="N10" s="1032"/>
    </row>
    <row r="11" spans="1:14">
      <c r="A11" s="1031"/>
      <c r="B11" s="1034"/>
      <c r="C11" s="1034"/>
      <c r="D11" s="1031"/>
      <c r="E11" s="1031"/>
      <c r="F11" s="1036"/>
      <c r="G11" s="1036"/>
      <c r="H11" s="1036"/>
      <c r="I11" s="1036"/>
      <c r="J11" s="1036"/>
      <c r="K11" s="1036"/>
      <c r="L11" s="1032"/>
      <c r="M11" s="1032"/>
      <c r="N11" s="1032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CDPS!$D$53</f>
        <v>0</v>
      </c>
      <c r="M13" s="293"/>
      <c r="N13" s="293"/>
    </row>
    <row r="14" spans="1:14">
      <c r="A14" s="296"/>
      <c r="B14" s="296"/>
      <c r="C14" s="296"/>
      <c r="D14" s="297" t="s">
        <v>220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587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588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221</v>
      </c>
    </row>
    <row r="21" spans="1:14">
      <c r="C21" s="304" t="s">
        <v>222</v>
      </c>
    </row>
    <row r="22" spans="1:14">
      <c r="B22" s="305"/>
      <c r="C22" s="305"/>
      <c r="D22" s="305"/>
      <c r="E22" s="1029" t="s">
        <v>223</v>
      </c>
      <c r="F22" s="1029"/>
      <c r="G22" s="1029"/>
      <c r="H22" s="1029"/>
      <c r="I22" s="1029"/>
      <c r="J22" s="1029"/>
      <c r="K22" s="1029"/>
      <c r="L22" s="1029"/>
      <c r="M22" s="1029"/>
      <c r="N22" s="1029"/>
    </row>
    <row r="23" spans="1:14">
      <c r="A23" s="1029" t="s">
        <v>11</v>
      </c>
      <c r="B23" s="1029"/>
      <c r="C23" s="1029"/>
      <c r="D23" s="1029"/>
      <c r="E23" s="1029" t="s">
        <v>12</v>
      </c>
      <c r="F23" s="1029"/>
      <c r="G23" s="1029"/>
      <c r="H23" s="1029"/>
      <c r="I23" s="1029"/>
      <c r="J23" s="1029"/>
      <c r="K23" s="1029"/>
      <c r="L23" s="1029"/>
      <c r="M23" s="1029"/>
      <c r="N23" s="1029"/>
    </row>
    <row r="24" spans="1:14">
      <c r="A24" s="1029" t="s">
        <v>13</v>
      </c>
      <c r="B24" s="1029"/>
      <c r="C24" s="1029"/>
      <c r="D24" s="1029"/>
      <c r="E24" s="1029" t="s">
        <v>13</v>
      </c>
      <c r="F24" s="1029"/>
      <c r="G24" s="1029"/>
      <c r="H24" s="1029"/>
      <c r="I24" s="1029"/>
      <c r="J24" s="1029"/>
      <c r="K24" s="1029"/>
      <c r="L24" s="1029"/>
      <c r="M24" s="1029"/>
      <c r="N24" s="1029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abSelected="1" topLeftCell="A6" workbookViewId="0">
      <pane xSplit="3" ySplit="6" topLeftCell="D336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4" customWidth="1"/>
    <col min="6" max="6" width="12.5703125" style="344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224</v>
      </c>
      <c r="C1" s="307"/>
      <c r="D1" s="307"/>
      <c r="E1" s="307"/>
      <c r="F1" s="308"/>
      <c r="G1" s="308"/>
      <c r="H1" s="1005" t="s">
        <v>225</v>
      </c>
      <c r="I1" s="1005"/>
      <c r="J1" s="1005"/>
      <c r="K1" s="1005"/>
      <c r="L1" s="1005"/>
      <c r="M1" s="309"/>
    </row>
    <row r="2" spans="1:13" s="284" customFormat="1" ht="14.25" customHeight="1">
      <c r="B2" s="310" t="s">
        <v>226</v>
      </c>
      <c r="C2" s="311"/>
      <c r="D2" s="311"/>
      <c r="E2" s="311"/>
      <c r="F2" s="311"/>
      <c r="G2" s="311"/>
      <c r="H2" s="1006" t="s">
        <v>227</v>
      </c>
      <c r="I2" s="1006"/>
      <c r="J2" s="1006"/>
      <c r="K2" s="1006"/>
      <c r="L2" s="1006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45" t="s">
        <v>228</v>
      </c>
      <c r="I3" s="1045"/>
      <c r="J3" s="1045"/>
      <c r="K3" s="1045"/>
      <c r="L3" s="1045"/>
      <c r="M3" s="313"/>
    </row>
    <row r="4" spans="1:13" s="314" customFormat="1" ht="27.75" customHeight="1">
      <c r="B4" s="1046" t="s">
        <v>229</v>
      </c>
      <c r="C4" s="1046"/>
      <c r="D4" s="1046"/>
      <c r="E4" s="1046"/>
      <c r="F4" s="1046"/>
      <c r="G4" s="1046"/>
      <c r="H4" s="1046"/>
      <c r="I4" s="1046"/>
      <c r="J4" s="1046"/>
      <c r="K4" s="1046"/>
      <c r="L4" s="1046"/>
      <c r="M4" s="315"/>
    </row>
    <row r="5" spans="1:13" s="314" customFormat="1" ht="15" customHeight="1">
      <c r="B5" s="1044" t="s">
        <v>230</v>
      </c>
      <c r="C5" s="1044"/>
      <c r="D5" s="1044"/>
      <c r="E5" s="1044"/>
      <c r="F5" s="1044"/>
      <c r="G5" s="1044"/>
      <c r="H5" s="1044"/>
      <c r="I5" s="1044"/>
      <c r="J5" s="1044"/>
      <c r="K5" s="1044"/>
      <c r="L5" s="1044"/>
      <c r="M5" s="315"/>
    </row>
    <row r="6" spans="1:13" s="314" customFormat="1" ht="12.75" hidden="1" customHeight="1">
      <c r="B6" s="1044" t="s">
        <v>231</v>
      </c>
      <c r="C6" s="1044"/>
      <c r="D6" s="1044"/>
      <c r="E6" s="1044"/>
      <c r="F6" s="1044"/>
      <c r="G6" s="1044"/>
      <c r="H6" s="1044"/>
      <c r="I6" s="1044"/>
      <c r="J6" s="1044"/>
      <c r="K6" s="1044"/>
      <c r="L6" s="1044"/>
      <c r="M6" s="315"/>
    </row>
    <row r="7" spans="1:13" s="316" customFormat="1" ht="24" hidden="1" customHeight="1">
      <c r="C7" s="1053" t="s">
        <v>232</v>
      </c>
      <c r="D7" s="1053"/>
      <c r="E7" s="1053"/>
      <c r="F7" s="1053"/>
      <c r="G7" s="1053"/>
      <c r="H7" s="1053"/>
      <c r="I7" s="1053"/>
      <c r="J7" s="1053"/>
      <c r="K7" s="1053"/>
      <c r="L7" s="1053"/>
      <c r="M7" s="317"/>
    </row>
    <row r="8" spans="1:13" ht="20.25" customHeight="1">
      <c r="B8" s="1047" t="s">
        <v>35</v>
      </c>
      <c r="C8" s="1048" t="s">
        <v>233</v>
      </c>
      <c r="D8" s="1049" t="s">
        <v>234</v>
      </c>
      <c r="E8" s="1051" t="s">
        <v>146</v>
      </c>
      <c r="F8" s="1051"/>
      <c r="G8" s="1051"/>
      <c r="H8" s="1051"/>
      <c r="I8" s="1051"/>
      <c r="J8" s="1051"/>
      <c r="K8" s="1051"/>
      <c r="L8" s="1051"/>
    </row>
    <row r="9" spans="1:13" ht="20.25" customHeight="1">
      <c r="B9" s="1047"/>
      <c r="C9" s="1048"/>
      <c r="D9" s="1050"/>
      <c r="E9" s="1051" t="s">
        <v>235</v>
      </c>
      <c r="F9" s="1051"/>
      <c r="G9" s="1052" t="s">
        <v>236</v>
      </c>
      <c r="H9" s="1052"/>
      <c r="I9" s="1052" t="s">
        <v>237</v>
      </c>
      <c r="J9" s="1052"/>
      <c r="K9" s="1052" t="s">
        <v>238</v>
      </c>
      <c r="L9" s="1052"/>
    </row>
    <row r="10" spans="1:13" ht="20.25" hidden="1" customHeight="1">
      <c r="B10" s="1047"/>
      <c r="C10" s="1048"/>
      <c r="D10" s="320"/>
      <c r="E10" s="321" t="s">
        <v>239</v>
      </c>
      <c r="F10" s="321" t="s">
        <v>240</v>
      </c>
      <c r="G10" s="321" t="s">
        <v>239</v>
      </c>
      <c r="H10" s="321" t="s">
        <v>240</v>
      </c>
      <c r="I10" s="321" t="s">
        <v>239</v>
      </c>
      <c r="J10" s="321" t="s">
        <v>240</v>
      </c>
      <c r="K10" s="321" t="s">
        <v>239</v>
      </c>
      <c r="L10" s="321" t="s">
        <v>240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458</v>
      </c>
      <c r="D12" s="328" t="s">
        <v>410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411</v>
      </c>
      <c r="D13" s="328" t="s">
        <v>410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889" t="s">
        <v>878</v>
      </c>
      <c r="D14" s="328" t="s">
        <v>410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3"/>
      <c r="E15" s="334"/>
      <c r="F15" s="334"/>
      <c r="G15" s="25"/>
      <c r="H15" s="334"/>
      <c r="I15" s="334"/>
      <c r="J15" s="334"/>
      <c r="K15" s="334"/>
      <c r="L15" s="334"/>
      <c r="M15" s="329"/>
    </row>
    <row r="16" spans="1:13" ht="18.75" customHeight="1">
      <c r="A16" s="325" t="str">
        <f t="shared" si="5"/>
        <v/>
      </c>
      <c r="B16" s="323"/>
      <c r="C16" s="335" t="s">
        <v>409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570"/>
      <c r="C17" s="571"/>
      <c r="D17" s="572"/>
      <c r="E17" s="572">
        <f>F16-F17</f>
        <v>0</v>
      </c>
      <c r="F17" s="572">
        <f>CDPS!C21</f>
        <v>0</v>
      </c>
      <c r="G17" s="572">
        <f>H16-H17</f>
        <v>0</v>
      </c>
      <c r="H17" s="572">
        <f>CDPS!E21</f>
        <v>41070250</v>
      </c>
      <c r="I17" s="572">
        <f>J16-J17</f>
        <v>0</v>
      </c>
      <c r="J17" s="572">
        <f>CDPS!F21</f>
        <v>0</v>
      </c>
      <c r="K17" s="572">
        <f>L16-L17</f>
        <v>0</v>
      </c>
      <c r="L17" s="572">
        <f>CDPS!G21</f>
        <v>41070250</v>
      </c>
      <c r="M17" s="329"/>
    </row>
    <row r="18" spans="1:13" ht="18.75" customHeight="1">
      <c r="A18" s="325" t="str">
        <f>IF(B18&lt;&gt;"","NL","")</f>
        <v>NL</v>
      </c>
      <c r="B18" s="569">
        <f>IF(C18&lt;&gt;"",B17+1,"")</f>
        <v>1</v>
      </c>
      <c r="C18" s="848" t="s">
        <v>977</v>
      </c>
      <c r="D18" s="328" t="s">
        <v>486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670</v>
      </c>
      <c r="L18" s="25">
        <f t="shared" ref="L18:L81" si="8">F18+H18-J18</f>
        <v>4891000</v>
      </c>
      <c r="M18" s="329"/>
    </row>
    <row r="19" spans="1:13" ht="18.75" customHeight="1">
      <c r="A19" s="325" t="str">
        <f t="shared" ref="A19:A82" si="9">IF(B19&lt;&gt;"","NL","")</f>
        <v>NL</v>
      </c>
      <c r="B19" s="569">
        <f t="shared" ref="B19:B82" si="10">IF(C19&lt;&gt;"",B18+1,"")</f>
        <v>2</v>
      </c>
      <c r="C19" s="40" t="s">
        <v>732</v>
      </c>
      <c r="D19" s="328" t="s">
        <v>486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100</v>
      </c>
      <c r="L19" s="8">
        <f t="shared" si="8"/>
        <v>880700</v>
      </c>
      <c r="M19" s="329"/>
    </row>
    <row r="20" spans="1:13" ht="18.75" customHeight="1">
      <c r="A20" s="325" t="str">
        <f t="shared" si="9"/>
        <v>NL</v>
      </c>
      <c r="B20" s="569">
        <f t="shared" si="10"/>
        <v>3</v>
      </c>
      <c r="C20" s="40" t="s">
        <v>819</v>
      </c>
      <c r="D20" s="328" t="s">
        <v>486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600</v>
      </c>
      <c r="L20" s="8">
        <f t="shared" si="8"/>
        <v>5458800</v>
      </c>
      <c r="M20" s="329"/>
    </row>
    <row r="21" spans="1:13" ht="18" customHeight="1">
      <c r="A21" s="325" t="str">
        <f t="shared" si="9"/>
        <v>NL</v>
      </c>
      <c r="B21" s="569">
        <f t="shared" si="10"/>
        <v>4</v>
      </c>
      <c r="C21" s="40" t="s">
        <v>769</v>
      </c>
      <c r="D21" s="328" t="s">
        <v>486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100</v>
      </c>
      <c r="L21" s="8">
        <f t="shared" si="8"/>
        <v>641300</v>
      </c>
      <c r="M21" s="329"/>
    </row>
    <row r="22" spans="1:13" ht="18" customHeight="1">
      <c r="A22" s="325" t="str">
        <f t="shared" si="9"/>
        <v>NL</v>
      </c>
      <c r="B22" s="569">
        <f t="shared" si="10"/>
        <v>5</v>
      </c>
      <c r="C22" s="40" t="s">
        <v>1022</v>
      </c>
      <c r="D22" s="328" t="s">
        <v>486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120</v>
      </c>
      <c r="L22" s="8">
        <f t="shared" si="8"/>
        <v>1234440</v>
      </c>
      <c r="M22" s="329"/>
    </row>
    <row r="23" spans="1:13" ht="18" customHeight="1">
      <c r="A23" s="325" t="str">
        <f t="shared" si="9"/>
        <v>NL</v>
      </c>
      <c r="B23" s="569">
        <f t="shared" si="10"/>
        <v>6</v>
      </c>
      <c r="C23" s="40" t="s">
        <v>987</v>
      </c>
      <c r="D23" s="328" t="s">
        <v>486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1670</v>
      </c>
      <c r="L23" s="8">
        <f t="shared" si="8"/>
        <v>17838170</v>
      </c>
      <c r="M23" s="329"/>
    </row>
    <row r="24" spans="1:13" ht="18" customHeight="1">
      <c r="A24" s="325" t="str">
        <f t="shared" si="9"/>
        <v>NL</v>
      </c>
      <c r="B24" s="569">
        <f t="shared" si="10"/>
        <v>7</v>
      </c>
      <c r="C24" s="40" t="s">
        <v>960</v>
      </c>
      <c r="D24" s="328" t="s">
        <v>486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1350</v>
      </c>
      <c r="L24" s="8">
        <f t="shared" si="8"/>
        <v>19791600</v>
      </c>
      <c r="M24" s="329"/>
    </row>
    <row r="25" spans="1:13" ht="18" customHeight="1">
      <c r="A25" s="325" t="str">
        <f t="shared" si="9"/>
        <v>NL</v>
      </c>
      <c r="B25" s="569">
        <f t="shared" si="10"/>
        <v>8</v>
      </c>
      <c r="C25" s="330" t="s">
        <v>566</v>
      </c>
      <c r="D25" s="328" t="s">
        <v>486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1200</v>
      </c>
      <c r="L25" s="8">
        <f t="shared" si="8"/>
        <v>10521600</v>
      </c>
      <c r="M25" s="329"/>
    </row>
    <row r="26" spans="1:13" ht="18" customHeight="1">
      <c r="A26" s="325" t="str">
        <f t="shared" si="9"/>
        <v>NL</v>
      </c>
      <c r="B26" s="569">
        <f t="shared" si="10"/>
        <v>9</v>
      </c>
      <c r="C26" s="40" t="s">
        <v>829</v>
      </c>
      <c r="D26" s="328" t="s">
        <v>486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1000</v>
      </c>
      <c r="L26" s="8">
        <f t="shared" si="8"/>
        <v>10752000</v>
      </c>
      <c r="M26" s="329"/>
    </row>
    <row r="27" spans="1:13" ht="18" customHeight="1">
      <c r="A27" s="325" t="str">
        <f t="shared" si="9"/>
        <v>NL</v>
      </c>
      <c r="B27" s="569">
        <f t="shared" si="10"/>
        <v>10</v>
      </c>
      <c r="C27" s="40" t="s">
        <v>806</v>
      </c>
      <c r="D27" s="328" t="s">
        <v>486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150</v>
      </c>
      <c r="L27" s="8">
        <f t="shared" si="8"/>
        <v>2190400</v>
      </c>
      <c r="M27" s="329"/>
    </row>
    <row r="28" spans="1:13" ht="18" customHeight="1">
      <c r="A28" s="325" t="str">
        <f t="shared" si="9"/>
        <v>NL</v>
      </c>
      <c r="B28" s="569">
        <f t="shared" si="10"/>
        <v>11</v>
      </c>
      <c r="C28" s="40" t="s">
        <v>758</v>
      </c>
      <c r="D28" s="328" t="s">
        <v>486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250</v>
      </c>
      <c r="L28" s="8">
        <f t="shared" si="8"/>
        <v>2116250</v>
      </c>
      <c r="M28" s="329"/>
    </row>
    <row r="29" spans="1:13" ht="18" customHeight="1">
      <c r="A29" s="325" t="str">
        <f t="shared" si="9"/>
        <v>NL</v>
      </c>
      <c r="B29" s="569">
        <f t="shared" si="10"/>
        <v>12</v>
      </c>
      <c r="C29" s="40" t="s">
        <v>772</v>
      </c>
      <c r="D29" s="328" t="s">
        <v>486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486</v>
      </c>
      <c r="L29" s="8">
        <f t="shared" si="8"/>
        <v>4512996</v>
      </c>
      <c r="M29" s="329"/>
    </row>
    <row r="30" spans="1:13" ht="18" customHeight="1">
      <c r="A30" s="325" t="str">
        <f t="shared" si="9"/>
        <v>NL</v>
      </c>
      <c r="B30" s="569">
        <f t="shared" si="10"/>
        <v>13</v>
      </c>
      <c r="C30" s="40" t="s">
        <v>964</v>
      </c>
      <c r="D30" s="328" t="s">
        <v>486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690</v>
      </c>
      <c r="L30" s="8">
        <f t="shared" si="8"/>
        <v>9319830</v>
      </c>
      <c r="M30" s="329"/>
    </row>
    <row r="31" spans="1:13" ht="18" customHeight="1">
      <c r="A31" s="325" t="str">
        <f t="shared" si="9"/>
        <v>NL</v>
      </c>
      <c r="B31" s="569">
        <f t="shared" si="10"/>
        <v>14</v>
      </c>
      <c r="C31" s="40" t="s">
        <v>773</v>
      </c>
      <c r="D31" s="328" t="s">
        <v>486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760</v>
      </c>
      <c r="L31" s="8">
        <f t="shared" si="8"/>
        <v>6463800</v>
      </c>
      <c r="M31" s="329"/>
    </row>
    <row r="32" spans="1:13" ht="18" customHeight="1">
      <c r="A32" s="325" t="str">
        <f t="shared" si="9"/>
        <v>NL</v>
      </c>
      <c r="B32" s="569">
        <f t="shared" si="10"/>
        <v>15</v>
      </c>
      <c r="C32" s="203" t="s">
        <v>580</v>
      </c>
      <c r="D32" s="328" t="s">
        <v>486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100</v>
      </c>
      <c r="L32" s="8">
        <f t="shared" si="8"/>
        <v>1202200</v>
      </c>
      <c r="M32" s="329"/>
    </row>
    <row r="33" spans="1:13" ht="18" customHeight="1">
      <c r="A33" s="325" t="str">
        <f t="shared" si="9"/>
        <v>NL</v>
      </c>
      <c r="B33" s="569">
        <f t="shared" si="10"/>
        <v>16</v>
      </c>
      <c r="C33" s="40" t="s">
        <v>832</v>
      </c>
      <c r="D33" s="328" t="s">
        <v>486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250</v>
      </c>
      <c r="L33" s="8">
        <f t="shared" si="8"/>
        <v>3052750</v>
      </c>
      <c r="M33" s="329"/>
    </row>
    <row r="34" spans="1:13" ht="18" customHeight="1">
      <c r="A34" s="325" t="str">
        <f t="shared" si="9"/>
        <v>NL</v>
      </c>
      <c r="B34" s="569">
        <f t="shared" si="10"/>
        <v>17</v>
      </c>
      <c r="C34" s="40" t="s">
        <v>721</v>
      </c>
      <c r="D34" s="328" t="s">
        <v>486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940</v>
      </c>
      <c r="L34" s="8">
        <f t="shared" si="8"/>
        <v>10505440</v>
      </c>
      <c r="M34" s="329"/>
    </row>
    <row r="35" spans="1:13" ht="18" customHeight="1">
      <c r="A35" s="325" t="str">
        <f t="shared" si="9"/>
        <v>NL</v>
      </c>
      <c r="B35" s="569">
        <f t="shared" si="10"/>
        <v>18</v>
      </c>
      <c r="C35" s="40" t="s">
        <v>929</v>
      </c>
      <c r="D35" s="328" t="s">
        <v>486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250</v>
      </c>
      <c r="L35" s="8">
        <f t="shared" si="8"/>
        <v>2572500</v>
      </c>
      <c r="M35" s="329"/>
    </row>
    <row r="36" spans="1:13" ht="18" customHeight="1">
      <c r="A36" s="325" t="str">
        <f t="shared" si="9"/>
        <v>NL</v>
      </c>
      <c r="B36" s="569">
        <f t="shared" si="10"/>
        <v>19</v>
      </c>
      <c r="C36" s="203" t="s">
        <v>619</v>
      </c>
      <c r="D36" s="328" t="s">
        <v>486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100</v>
      </c>
      <c r="L36" s="8">
        <f t="shared" si="8"/>
        <v>1150800</v>
      </c>
      <c r="M36" s="329"/>
    </row>
    <row r="37" spans="1:13" ht="18" customHeight="1">
      <c r="A37" s="325" t="str">
        <f t="shared" si="9"/>
        <v>NL</v>
      </c>
      <c r="B37" s="569">
        <f t="shared" si="10"/>
        <v>20</v>
      </c>
      <c r="C37" s="40" t="s">
        <v>1008</v>
      </c>
      <c r="D37" s="328" t="s">
        <v>486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1020</v>
      </c>
      <c r="L37" s="8">
        <f t="shared" si="8"/>
        <v>15593760</v>
      </c>
      <c r="M37" s="329"/>
    </row>
    <row r="38" spans="1:13" ht="18" customHeight="1">
      <c r="A38" s="325" t="str">
        <f t="shared" si="9"/>
        <v>NL</v>
      </c>
      <c r="B38" s="569">
        <f t="shared" si="10"/>
        <v>21</v>
      </c>
      <c r="C38" s="203" t="s">
        <v>620</v>
      </c>
      <c r="D38" s="328" t="s">
        <v>486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100</v>
      </c>
      <c r="L38" s="8">
        <f t="shared" si="8"/>
        <v>1534400</v>
      </c>
      <c r="M38" s="329"/>
    </row>
    <row r="39" spans="1:13" ht="18" customHeight="1">
      <c r="A39" s="325" t="str">
        <f t="shared" si="9"/>
        <v>NL</v>
      </c>
      <c r="B39" s="569">
        <f t="shared" si="10"/>
        <v>22</v>
      </c>
      <c r="C39" s="40" t="s">
        <v>770</v>
      </c>
      <c r="D39" s="328" t="s">
        <v>486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100</v>
      </c>
      <c r="L39" s="8">
        <f t="shared" si="8"/>
        <v>678300</v>
      </c>
      <c r="M39" s="329"/>
    </row>
    <row r="40" spans="1:13" ht="18" customHeight="1">
      <c r="A40" s="325" t="str">
        <f t="shared" si="9"/>
        <v>NL</v>
      </c>
      <c r="B40" s="569">
        <f t="shared" si="10"/>
        <v>23</v>
      </c>
      <c r="C40" s="40" t="s">
        <v>944</v>
      </c>
      <c r="D40" s="328" t="s">
        <v>486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1030</v>
      </c>
      <c r="L40" s="8">
        <f t="shared" si="8"/>
        <v>10685220</v>
      </c>
      <c r="M40" s="329"/>
    </row>
    <row r="41" spans="1:13" ht="18" customHeight="1">
      <c r="A41" s="325" t="str">
        <f t="shared" si="9"/>
        <v>NL</v>
      </c>
      <c r="B41" s="569">
        <f t="shared" si="10"/>
        <v>24</v>
      </c>
      <c r="C41" s="40" t="s">
        <v>763</v>
      </c>
      <c r="D41" s="328" t="s">
        <v>486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150</v>
      </c>
      <c r="L41" s="8">
        <f t="shared" si="8"/>
        <v>1621650</v>
      </c>
      <c r="M41" s="329"/>
    </row>
    <row r="42" spans="1:13" ht="18" customHeight="1">
      <c r="A42" s="325" t="str">
        <f t="shared" si="9"/>
        <v>NL</v>
      </c>
      <c r="B42" s="569">
        <f t="shared" si="10"/>
        <v>25</v>
      </c>
      <c r="C42" s="40" t="s">
        <v>771</v>
      </c>
      <c r="D42" s="328" t="s">
        <v>486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50</v>
      </c>
      <c r="L42" s="8">
        <f t="shared" si="8"/>
        <v>530650</v>
      </c>
      <c r="M42" s="329"/>
    </row>
    <row r="43" spans="1:13" ht="18" customHeight="1">
      <c r="A43" s="325" t="str">
        <f t="shared" si="9"/>
        <v>NL</v>
      </c>
      <c r="B43" s="569">
        <f t="shared" si="10"/>
        <v>26</v>
      </c>
      <c r="C43" s="203" t="s">
        <v>624</v>
      </c>
      <c r="D43" s="328" t="s">
        <v>486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100</v>
      </c>
      <c r="L43" s="8">
        <f t="shared" si="8"/>
        <v>1472900</v>
      </c>
      <c r="M43" s="329"/>
    </row>
    <row r="44" spans="1:13" ht="18" customHeight="1">
      <c r="A44" s="325" t="str">
        <f t="shared" si="9"/>
        <v>NL</v>
      </c>
      <c r="B44" s="569">
        <f t="shared" si="10"/>
        <v>27</v>
      </c>
      <c r="C44" s="40" t="s">
        <v>898</v>
      </c>
      <c r="D44" s="328" t="s">
        <v>486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310</v>
      </c>
      <c r="L44" s="8">
        <f t="shared" si="8"/>
        <v>2890440</v>
      </c>
      <c r="M44" s="329"/>
    </row>
    <row r="45" spans="1:13" ht="18" customHeight="1">
      <c r="A45" s="325" t="str">
        <f t="shared" si="9"/>
        <v>NL</v>
      </c>
      <c r="B45" s="569">
        <f t="shared" si="10"/>
        <v>28</v>
      </c>
      <c r="C45" s="40" t="s">
        <v>713</v>
      </c>
      <c r="D45" s="328" t="s">
        <v>486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250</v>
      </c>
      <c r="L45" s="8">
        <f t="shared" si="8"/>
        <v>2870000</v>
      </c>
      <c r="M45" s="329"/>
    </row>
    <row r="46" spans="1:13" ht="18" customHeight="1">
      <c r="A46" s="325" t="str">
        <f t="shared" si="9"/>
        <v>NL</v>
      </c>
      <c r="B46" s="569">
        <f t="shared" si="10"/>
        <v>29</v>
      </c>
      <c r="C46" s="40" t="s">
        <v>796</v>
      </c>
      <c r="D46" s="328" t="s">
        <v>486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500</v>
      </c>
      <c r="L46" s="8">
        <f t="shared" si="8"/>
        <v>3755000</v>
      </c>
      <c r="M46" s="329"/>
    </row>
    <row r="47" spans="1:13" ht="18" customHeight="1">
      <c r="A47" s="325" t="str">
        <f t="shared" si="9"/>
        <v>NL</v>
      </c>
      <c r="B47" s="569">
        <f t="shared" si="10"/>
        <v>30</v>
      </c>
      <c r="C47" s="40" t="s">
        <v>722</v>
      </c>
      <c r="D47" s="328" t="s">
        <v>486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200</v>
      </c>
      <c r="L47" s="8">
        <f t="shared" si="8"/>
        <v>2512600</v>
      </c>
      <c r="M47" s="329"/>
    </row>
    <row r="48" spans="1:13" ht="18" customHeight="1">
      <c r="A48" s="325" t="str">
        <f t="shared" si="9"/>
        <v>NL</v>
      </c>
      <c r="B48" s="569">
        <f t="shared" si="10"/>
        <v>31</v>
      </c>
      <c r="C48" s="40" t="s">
        <v>943</v>
      </c>
      <c r="D48" s="328" t="s">
        <v>486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680</v>
      </c>
      <c r="L48" s="8">
        <f t="shared" si="8"/>
        <v>11388640</v>
      </c>
      <c r="M48" s="329"/>
    </row>
    <row r="49" spans="1:13" ht="18" customHeight="1">
      <c r="A49" s="325" t="str">
        <f t="shared" si="9"/>
        <v>NL</v>
      </c>
      <c r="B49" s="569">
        <f t="shared" si="10"/>
        <v>32</v>
      </c>
      <c r="C49" s="40" t="s">
        <v>976</v>
      </c>
      <c r="D49" s="328" t="s">
        <v>486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340</v>
      </c>
      <c r="L49" s="8">
        <f t="shared" si="8"/>
        <v>5140800</v>
      </c>
      <c r="M49" s="329"/>
    </row>
    <row r="50" spans="1:13" ht="18" customHeight="1">
      <c r="A50" s="325" t="str">
        <f t="shared" si="9"/>
        <v>NL</v>
      </c>
      <c r="B50" s="569">
        <f t="shared" si="10"/>
        <v>33</v>
      </c>
      <c r="C50" s="40" t="s">
        <v>956</v>
      </c>
      <c r="D50" s="328" t="s">
        <v>486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500</v>
      </c>
      <c r="L50" s="8">
        <f t="shared" si="8"/>
        <v>4688500</v>
      </c>
      <c r="M50" s="329"/>
    </row>
    <row r="51" spans="1:13" ht="18" customHeight="1">
      <c r="A51" s="325" t="str">
        <f t="shared" si="9"/>
        <v>NL</v>
      </c>
      <c r="B51" s="569">
        <f t="shared" si="10"/>
        <v>34</v>
      </c>
      <c r="C51" s="203" t="s">
        <v>621</v>
      </c>
      <c r="D51" s="328" t="s">
        <v>486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250</v>
      </c>
      <c r="L51" s="8">
        <f t="shared" si="8"/>
        <v>3013250</v>
      </c>
      <c r="M51" s="329"/>
    </row>
    <row r="52" spans="1:13" ht="18" customHeight="1">
      <c r="A52" s="325" t="str">
        <f t="shared" si="9"/>
        <v>NL</v>
      </c>
      <c r="B52" s="569">
        <f t="shared" si="10"/>
        <v>35</v>
      </c>
      <c r="C52" s="40" t="s">
        <v>761</v>
      </c>
      <c r="D52" s="328" t="s">
        <v>486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910</v>
      </c>
      <c r="L52" s="8">
        <f t="shared" si="8"/>
        <v>8943480</v>
      </c>
      <c r="M52" s="329"/>
    </row>
    <row r="53" spans="1:13" ht="18" customHeight="1">
      <c r="A53" s="325" t="str">
        <f t="shared" si="9"/>
        <v>NL</v>
      </c>
      <c r="B53" s="569">
        <f t="shared" si="10"/>
        <v>36</v>
      </c>
      <c r="C53" s="40" t="s">
        <v>905</v>
      </c>
      <c r="D53" s="328" t="s">
        <v>486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550</v>
      </c>
      <c r="L53" s="8">
        <f t="shared" si="8"/>
        <v>5440050</v>
      </c>
      <c r="M53" s="329"/>
    </row>
    <row r="54" spans="1:13" ht="18" customHeight="1">
      <c r="A54" s="325" t="str">
        <f t="shared" si="9"/>
        <v>NL</v>
      </c>
      <c r="B54" s="569">
        <f t="shared" si="10"/>
        <v>37</v>
      </c>
      <c r="C54" s="40" t="s">
        <v>948</v>
      </c>
      <c r="D54" s="328" t="s">
        <v>486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500</v>
      </c>
      <c r="L54" s="8">
        <f t="shared" si="8"/>
        <v>5723500</v>
      </c>
      <c r="M54" s="329"/>
    </row>
    <row r="55" spans="1:13" ht="18" customHeight="1">
      <c r="A55" s="325" t="str">
        <f t="shared" si="9"/>
        <v>NL</v>
      </c>
      <c r="B55" s="569">
        <f t="shared" si="10"/>
        <v>38</v>
      </c>
      <c r="C55" s="40" t="s">
        <v>782</v>
      </c>
      <c r="D55" s="328" t="s">
        <v>486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350</v>
      </c>
      <c r="L55" s="8">
        <f t="shared" si="8"/>
        <v>5400150</v>
      </c>
      <c r="M55" s="329"/>
    </row>
    <row r="56" spans="1:13" ht="18" customHeight="1">
      <c r="A56" s="325" t="str">
        <f t="shared" si="9"/>
        <v>NL</v>
      </c>
      <c r="B56" s="569">
        <f t="shared" si="10"/>
        <v>39</v>
      </c>
      <c r="C56" s="40" t="s">
        <v>844</v>
      </c>
      <c r="D56" s="328" t="s">
        <v>486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400</v>
      </c>
      <c r="L56" s="8">
        <f t="shared" si="8"/>
        <v>4261200</v>
      </c>
      <c r="M56" s="329"/>
    </row>
    <row r="57" spans="1:13" ht="18" customHeight="1">
      <c r="A57" s="325" t="str">
        <f t="shared" si="9"/>
        <v>NL</v>
      </c>
      <c r="B57" s="569">
        <f t="shared" si="10"/>
        <v>40</v>
      </c>
      <c r="C57" s="40" t="s">
        <v>841</v>
      </c>
      <c r="D57" s="328" t="s">
        <v>486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500</v>
      </c>
      <c r="L57" s="8">
        <f t="shared" si="8"/>
        <v>5292000</v>
      </c>
      <c r="M57" s="329"/>
    </row>
    <row r="58" spans="1:13" ht="18" customHeight="1">
      <c r="A58" s="325" t="str">
        <f t="shared" si="9"/>
        <v>NL</v>
      </c>
      <c r="B58" s="569">
        <f t="shared" si="10"/>
        <v>41</v>
      </c>
      <c r="C58" s="40" t="s">
        <v>723</v>
      </c>
      <c r="D58" s="328" t="s">
        <v>486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100</v>
      </c>
      <c r="L58" s="8">
        <f t="shared" si="8"/>
        <v>1554400</v>
      </c>
      <c r="M58" s="329"/>
    </row>
    <row r="59" spans="1:13" ht="18" customHeight="1">
      <c r="A59" s="325" t="str">
        <f t="shared" si="9"/>
        <v>NL</v>
      </c>
      <c r="B59" s="569">
        <f t="shared" si="10"/>
        <v>42</v>
      </c>
      <c r="C59" s="40" t="s">
        <v>953</v>
      </c>
      <c r="D59" s="328" t="s">
        <v>486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350</v>
      </c>
      <c r="L59" s="8">
        <f t="shared" si="8"/>
        <v>5644800</v>
      </c>
      <c r="M59" s="329"/>
    </row>
    <row r="60" spans="1:13" ht="18" customHeight="1">
      <c r="A60" s="325" t="str">
        <f t="shared" si="9"/>
        <v>NL</v>
      </c>
      <c r="B60" s="569">
        <f t="shared" si="10"/>
        <v>43</v>
      </c>
      <c r="C60" s="40" t="s">
        <v>762</v>
      </c>
      <c r="D60" s="328" t="s">
        <v>486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470</v>
      </c>
      <c r="L60" s="8">
        <f t="shared" si="8"/>
        <v>5243790</v>
      </c>
      <c r="M60" s="329"/>
    </row>
    <row r="61" spans="1:13" ht="18" customHeight="1">
      <c r="A61" s="325" t="str">
        <f t="shared" si="9"/>
        <v>NL</v>
      </c>
      <c r="B61" s="569">
        <f t="shared" si="10"/>
        <v>44</v>
      </c>
      <c r="C61" s="40" t="s">
        <v>741</v>
      </c>
      <c r="D61" s="328" t="s">
        <v>486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100</v>
      </c>
      <c r="L61" s="8">
        <f t="shared" si="8"/>
        <v>1186600</v>
      </c>
      <c r="M61" s="329"/>
    </row>
    <row r="62" spans="1:13" ht="18" customHeight="1">
      <c r="A62" s="325" t="str">
        <f t="shared" si="9"/>
        <v>NL</v>
      </c>
      <c r="B62" s="569">
        <f t="shared" si="10"/>
        <v>45</v>
      </c>
      <c r="C62" s="40" t="s">
        <v>915</v>
      </c>
      <c r="D62" s="328" t="s">
        <v>486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105</v>
      </c>
      <c r="L62" s="8">
        <f t="shared" si="8"/>
        <v>1812195</v>
      </c>
      <c r="M62" s="329"/>
    </row>
    <row r="63" spans="1:13" ht="18" customHeight="1">
      <c r="A63" s="325" t="str">
        <f t="shared" si="9"/>
        <v>NL</v>
      </c>
      <c r="B63" s="569">
        <f t="shared" si="10"/>
        <v>46</v>
      </c>
      <c r="C63" s="330" t="s">
        <v>568</v>
      </c>
      <c r="D63" s="328" t="s">
        <v>486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1633</v>
      </c>
      <c r="L63" s="8">
        <f t="shared" si="8"/>
        <v>18737351</v>
      </c>
      <c r="M63" s="329"/>
    </row>
    <row r="64" spans="1:13" ht="18" customHeight="1">
      <c r="A64" s="325" t="str">
        <f t="shared" si="9"/>
        <v>NL</v>
      </c>
      <c r="B64" s="569">
        <f t="shared" si="10"/>
        <v>47</v>
      </c>
      <c r="C64" s="40" t="s">
        <v>951</v>
      </c>
      <c r="D64" s="328" t="s">
        <v>486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200</v>
      </c>
      <c r="L64" s="8">
        <f t="shared" si="8"/>
        <v>1633000</v>
      </c>
      <c r="M64" s="329"/>
    </row>
    <row r="65" spans="1:13" ht="18" customHeight="1">
      <c r="A65" s="325" t="str">
        <f t="shared" si="9"/>
        <v>NL</v>
      </c>
      <c r="B65" s="569">
        <f t="shared" si="10"/>
        <v>48</v>
      </c>
      <c r="C65" s="40" t="s">
        <v>843</v>
      </c>
      <c r="D65" s="328" t="s">
        <v>486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500</v>
      </c>
      <c r="L65" s="8">
        <f t="shared" si="8"/>
        <v>5941000</v>
      </c>
      <c r="M65" s="329"/>
    </row>
    <row r="66" spans="1:13" ht="18" customHeight="1">
      <c r="A66" s="325" t="str">
        <f t="shared" si="9"/>
        <v>NL</v>
      </c>
      <c r="B66" s="569">
        <f t="shared" si="10"/>
        <v>49</v>
      </c>
      <c r="C66" s="40" t="s">
        <v>1011</v>
      </c>
      <c r="D66" s="328" t="s">
        <v>486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220</v>
      </c>
      <c r="L66" s="8">
        <f t="shared" si="8"/>
        <v>3897520</v>
      </c>
      <c r="M66" s="329"/>
    </row>
    <row r="67" spans="1:13" ht="18" customHeight="1">
      <c r="A67" s="325" t="str">
        <f t="shared" si="9"/>
        <v>NL</v>
      </c>
      <c r="B67" s="569">
        <f t="shared" si="10"/>
        <v>50</v>
      </c>
      <c r="C67" s="40" t="s">
        <v>798</v>
      </c>
      <c r="D67" s="328" t="s">
        <v>486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500</v>
      </c>
      <c r="L67" s="8">
        <f t="shared" si="8"/>
        <v>4158000</v>
      </c>
      <c r="M67" s="329"/>
    </row>
    <row r="68" spans="1:13" ht="18" customHeight="1">
      <c r="A68" s="325" t="str">
        <f t="shared" si="9"/>
        <v>NL</v>
      </c>
      <c r="B68" s="569">
        <f t="shared" si="10"/>
        <v>51</v>
      </c>
      <c r="C68" s="40" t="s">
        <v>1071</v>
      </c>
      <c r="D68" s="328" t="s">
        <v>486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470</v>
      </c>
      <c r="L68" s="8">
        <f t="shared" si="8"/>
        <v>5223110</v>
      </c>
      <c r="M68" s="329"/>
    </row>
    <row r="69" spans="1:13" ht="18" customHeight="1">
      <c r="A69" s="325" t="str">
        <f t="shared" si="9"/>
        <v>NL</v>
      </c>
      <c r="B69" s="569">
        <f t="shared" si="10"/>
        <v>52</v>
      </c>
      <c r="C69" s="40" t="s">
        <v>975</v>
      </c>
      <c r="D69" s="328" t="s">
        <v>486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100</v>
      </c>
      <c r="L69" s="8">
        <f t="shared" si="8"/>
        <v>1188900</v>
      </c>
      <c r="M69" s="329"/>
    </row>
    <row r="70" spans="1:13" ht="18" customHeight="1">
      <c r="A70" s="325" t="str">
        <f t="shared" si="9"/>
        <v>NL</v>
      </c>
      <c r="B70" s="569">
        <f t="shared" si="10"/>
        <v>53</v>
      </c>
      <c r="C70" s="40" t="s">
        <v>950</v>
      </c>
      <c r="D70" s="328" t="s">
        <v>486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500</v>
      </c>
      <c r="L70" s="8">
        <f t="shared" si="8"/>
        <v>6451500</v>
      </c>
      <c r="M70" s="329"/>
    </row>
    <row r="71" spans="1:13" ht="18" customHeight="1">
      <c r="A71" s="325" t="str">
        <f t="shared" si="9"/>
        <v>NL</v>
      </c>
      <c r="B71" s="569">
        <f t="shared" si="10"/>
        <v>54</v>
      </c>
      <c r="C71" s="40" t="s">
        <v>743</v>
      </c>
      <c r="D71" s="328" t="s">
        <v>486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339</v>
      </c>
      <c r="L71" s="8">
        <f t="shared" si="8"/>
        <v>4440561</v>
      </c>
      <c r="M71" s="329"/>
    </row>
    <row r="72" spans="1:13" ht="18" customHeight="1">
      <c r="A72" s="325" t="str">
        <f t="shared" si="9"/>
        <v>NL</v>
      </c>
      <c r="B72" s="569">
        <f t="shared" si="10"/>
        <v>55</v>
      </c>
      <c r="C72" s="40" t="s">
        <v>1046</v>
      </c>
      <c r="D72" s="328" t="s">
        <v>486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690</v>
      </c>
      <c r="L72" s="8">
        <f t="shared" si="8"/>
        <v>13723250</v>
      </c>
      <c r="M72" s="329"/>
    </row>
    <row r="73" spans="1:13" ht="18" customHeight="1">
      <c r="A73" s="325" t="str">
        <f t="shared" si="9"/>
        <v>NL</v>
      </c>
      <c r="B73" s="569">
        <f t="shared" si="10"/>
        <v>56</v>
      </c>
      <c r="C73" s="330" t="s">
        <v>569</v>
      </c>
      <c r="D73" s="328" t="s">
        <v>486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712</v>
      </c>
      <c r="L73" s="8">
        <f t="shared" si="8"/>
        <v>9491052</v>
      </c>
      <c r="M73" s="329"/>
    </row>
    <row r="74" spans="1:13" ht="18" customHeight="1">
      <c r="A74" s="325" t="str">
        <f t="shared" si="9"/>
        <v>NL</v>
      </c>
      <c r="B74" s="569">
        <f t="shared" si="10"/>
        <v>57</v>
      </c>
      <c r="C74" s="40" t="s">
        <v>774</v>
      </c>
      <c r="D74" s="328" t="s">
        <v>486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395</v>
      </c>
      <c r="L74" s="8">
        <f t="shared" si="8"/>
        <v>4835195</v>
      </c>
      <c r="M74" s="329"/>
    </row>
    <row r="75" spans="1:13" ht="18" customHeight="1">
      <c r="A75" s="325" t="str">
        <f t="shared" si="9"/>
        <v>NL</v>
      </c>
      <c r="B75" s="569">
        <f t="shared" si="10"/>
        <v>58</v>
      </c>
      <c r="C75" s="40" t="s">
        <v>845</v>
      </c>
      <c r="D75" s="328" t="s">
        <v>486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150</v>
      </c>
      <c r="L75" s="8">
        <f t="shared" si="8"/>
        <v>1890900</v>
      </c>
      <c r="M75" s="329"/>
    </row>
    <row r="76" spans="1:13" ht="18" customHeight="1">
      <c r="A76" s="325" t="str">
        <f t="shared" si="9"/>
        <v>NL</v>
      </c>
      <c r="B76" s="569">
        <f t="shared" si="10"/>
        <v>59</v>
      </c>
      <c r="C76" s="40" t="s">
        <v>744</v>
      </c>
      <c r="D76" s="328" t="s">
        <v>486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510</v>
      </c>
      <c r="L76" s="8">
        <f t="shared" si="8"/>
        <v>7432230</v>
      </c>
      <c r="M76" s="329"/>
    </row>
    <row r="77" spans="1:13" ht="18" customHeight="1">
      <c r="A77" s="325" t="str">
        <f t="shared" si="9"/>
        <v>NL</v>
      </c>
      <c r="B77" s="569">
        <f t="shared" si="10"/>
        <v>60</v>
      </c>
      <c r="C77" s="40" t="s">
        <v>760</v>
      </c>
      <c r="D77" s="328" t="s">
        <v>486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350</v>
      </c>
      <c r="L77" s="8">
        <f t="shared" si="8"/>
        <v>5712350</v>
      </c>
      <c r="M77" s="329"/>
    </row>
    <row r="78" spans="1:13" ht="18" customHeight="1">
      <c r="A78" s="325" t="str">
        <f t="shared" si="9"/>
        <v>NL</v>
      </c>
      <c r="B78" s="569">
        <f t="shared" si="10"/>
        <v>61</v>
      </c>
      <c r="C78" s="203" t="s">
        <v>574</v>
      </c>
      <c r="D78" s="328" t="s">
        <v>486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1105</v>
      </c>
      <c r="L78" s="8">
        <f t="shared" si="8"/>
        <v>16386760</v>
      </c>
      <c r="M78" s="329"/>
    </row>
    <row r="79" spans="1:13" ht="18" customHeight="1">
      <c r="A79" s="325" t="str">
        <f t="shared" si="9"/>
        <v>NL</v>
      </c>
      <c r="B79" s="569">
        <f t="shared" si="10"/>
        <v>62</v>
      </c>
      <c r="C79" s="40" t="s">
        <v>708</v>
      </c>
      <c r="D79" s="328" t="s">
        <v>486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100</v>
      </c>
      <c r="L79" s="8">
        <f t="shared" si="8"/>
        <v>1515900</v>
      </c>
      <c r="M79" s="329"/>
    </row>
    <row r="80" spans="1:13" ht="18" customHeight="1">
      <c r="A80" s="325" t="str">
        <f t="shared" si="9"/>
        <v>NL</v>
      </c>
      <c r="B80" s="569">
        <f t="shared" si="10"/>
        <v>63</v>
      </c>
      <c r="C80" s="40" t="s">
        <v>808</v>
      </c>
      <c r="D80" s="328" t="s">
        <v>486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1000</v>
      </c>
      <c r="L80" s="8">
        <f t="shared" si="8"/>
        <v>9122000</v>
      </c>
      <c r="M80" s="329"/>
    </row>
    <row r="81" spans="1:13" ht="18" customHeight="1">
      <c r="A81" s="325" t="str">
        <f t="shared" si="9"/>
        <v>NL</v>
      </c>
      <c r="B81" s="569">
        <f t="shared" si="10"/>
        <v>64</v>
      </c>
      <c r="C81" s="40" t="s">
        <v>862</v>
      </c>
      <c r="D81" s="328" t="s">
        <v>486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100</v>
      </c>
      <c r="L81" s="8">
        <f t="shared" si="8"/>
        <v>1787600</v>
      </c>
      <c r="M81" s="329"/>
    </row>
    <row r="82" spans="1:13" ht="18" customHeight="1">
      <c r="A82" s="325" t="str">
        <f t="shared" si="9"/>
        <v>NL</v>
      </c>
      <c r="B82" s="569">
        <f t="shared" si="10"/>
        <v>65</v>
      </c>
      <c r="C82" s="40" t="s">
        <v>848</v>
      </c>
      <c r="D82" s="328" t="s">
        <v>486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300</v>
      </c>
      <c r="L82" s="8">
        <f t="shared" ref="L82:L145" si="12">F82+H82-J82</f>
        <v>6102300</v>
      </c>
      <c r="M82" s="329"/>
    </row>
    <row r="83" spans="1:13" ht="18" customHeight="1">
      <c r="A83" s="325" t="str">
        <f t="shared" ref="A83:A146" si="13">IF(B83&lt;&gt;"","NL","")</f>
        <v>NL</v>
      </c>
      <c r="B83" s="569">
        <f t="shared" ref="B83:B146" si="14">IF(C83&lt;&gt;"",B82+1,"")</f>
        <v>66</v>
      </c>
      <c r="C83" s="40" t="s">
        <v>849</v>
      </c>
      <c r="D83" s="328" t="s">
        <v>486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200</v>
      </c>
      <c r="L83" s="8">
        <f t="shared" si="12"/>
        <v>2342400</v>
      </c>
      <c r="M83" s="329"/>
    </row>
    <row r="84" spans="1:13" ht="18" customHeight="1">
      <c r="A84" s="325" t="str">
        <f t="shared" si="13"/>
        <v>NL</v>
      </c>
      <c r="B84" s="569">
        <f t="shared" si="14"/>
        <v>67</v>
      </c>
      <c r="C84" s="40" t="s">
        <v>745</v>
      </c>
      <c r="D84" s="328" t="s">
        <v>486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50</v>
      </c>
      <c r="L84" s="8">
        <f t="shared" si="12"/>
        <v>778900</v>
      </c>
      <c r="M84" s="329"/>
    </row>
    <row r="85" spans="1:13" ht="18" customHeight="1">
      <c r="A85" s="325" t="str">
        <f t="shared" si="13"/>
        <v>NL</v>
      </c>
      <c r="B85" s="569">
        <f t="shared" si="14"/>
        <v>68</v>
      </c>
      <c r="C85" s="40" t="s">
        <v>1012</v>
      </c>
      <c r="D85" s="328" t="s">
        <v>486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360</v>
      </c>
      <c r="L85" s="8">
        <f t="shared" si="12"/>
        <v>5860080</v>
      </c>
      <c r="M85" s="329"/>
    </row>
    <row r="86" spans="1:13" ht="18" customHeight="1">
      <c r="A86" s="325" t="str">
        <f t="shared" si="13"/>
        <v>NL</v>
      </c>
      <c r="B86" s="569">
        <f t="shared" si="14"/>
        <v>69</v>
      </c>
      <c r="C86" s="40" t="s">
        <v>1010</v>
      </c>
      <c r="D86" s="328" t="s">
        <v>486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200</v>
      </c>
      <c r="L86" s="8">
        <f t="shared" si="12"/>
        <v>3680400</v>
      </c>
      <c r="M86" s="329"/>
    </row>
    <row r="87" spans="1:13" ht="18" customHeight="1">
      <c r="A87" s="325" t="str">
        <f t="shared" si="13"/>
        <v>NL</v>
      </c>
      <c r="B87" s="569">
        <f t="shared" si="14"/>
        <v>70</v>
      </c>
      <c r="C87" s="40" t="s">
        <v>784</v>
      </c>
      <c r="D87" s="328" t="s">
        <v>486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1010</v>
      </c>
      <c r="L87" s="8">
        <f t="shared" si="12"/>
        <v>17899220</v>
      </c>
      <c r="M87" s="329"/>
    </row>
    <row r="88" spans="1:13" ht="18" customHeight="1">
      <c r="A88" s="325" t="str">
        <f t="shared" si="13"/>
        <v>NL</v>
      </c>
      <c r="B88" s="569">
        <f t="shared" si="14"/>
        <v>71</v>
      </c>
      <c r="C88" s="40" t="s">
        <v>896</v>
      </c>
      <c r="D88" s="328" t="s">
        <v>486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300</v>
      </c>
      <c r="L88" s="8">
        <f t="shared" si="12"/>
        <v>4136700</v>
      </c>
      <c r="M88" s="329"/>
    </row>
    <row r="89" spans="1:13" ht="18" customHeight="1">
      <c r="A89" s="325" t="str">
        <f t="shared" si="13"/>
        <v>NL</v>
      </c>
      <c r="B89" s="569">
        <f t="shared" si="14"/>
        <v>72</v>
      </c>
      <c r="C89" s="40" t="s">
        <v>753</v>
      </c>
      <c r="D89" s="328" t="s">
        <v>486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985</v>
      </c>
      <c r="L89" s="8">
        <f t="shared" si="12"/>
        <v>18755385</v>
      </c>
      <c r="M89" s="329"/>
    </row>
    <row r="90" spans="1:13" ht="18" customHeight="1">
      <c r="A90" s="325" t="str">
        <f t="shared" si="13"/>
        <v>NL</v>
      </c>
      <c r="B90" s="569">
        <f t="shared" si="14"/>
        <v>73</v>
      </c>
      <c r="C90" s="203" t="s">
        <v>578</v>
      </c>
      <c r="D90" s="328" t="s">
        <v>486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2340</v>
      </c>
      <c r="L90" s="8">
        <f t="shared" si="12"/>
        <v>45273180</v>
      </c>
      <c r="M90" s="329"/>
    </row>
    <row r="91" spans="1:13" ht="18" customHeight="1">
      <c r="A91" s="325" t="str">
        <f t="shared" si="13"/>
        <v>NL</v>
      </c>
      <c r="B91" s="569">
        <f t="shared" si="14"/>
        <v>74</v>
      </c>
      <c r="C91" s="40" t="s">
        <v>803</v>
      </c>
      <c r="D91" s="328" t="s">
        <v>486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200</v>
      </c>
      <c r="L91" s="8">
        <f t="shared" si="12"/>
        <v>2800000</v>
      </c>
      <c r="M91" s="329"/>
    </row>
    <row r="92" spans="1:13" ht="18" customHeight="1">
      <c r="A92" s="325" t="str">
        <f t="shared" si="13"/>
        <v>NL</v>
      </c>
      <c r="B92" s="569">
        <f t="shared" si="14"/>
        <v>75</v>
      </c>
      <c r="C92" s="40" t="s">
        <v>750</v>
      </c>
      <c r="D92" s="328" t="s">
        <v>486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1075</v>
      </c>
      <c r="L92" s="8">
        <f t="shared" si="12"/>
        <v>21305425</v>
      </c>
      <c r="M92" s="329"/>
    </row>
    <row r="93" spans="1:13" ht="18" customHeight="1">
      <c r="A93" s="325" t="str">
        <f t="shared" si="13"/>
        <v>NL</v>
      </c>
      <c r="B93" s="569">
        <f t="shared" si="14"/>
        <v>76</v>
      </c>
      <c r="C93" s="40" t="s">
        <v>820</v>
      </c>
      <c r="D93" s="328" t="s">
        <v>486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274</v>
      </c>
      <c r="L93" s="8">
        <f t="shared" si="12"/>
        <v>3557890</v>
      </c>
      <c r="M93" s="329"/>
    </row>
    <row r="94" spans="1:13" ht="18" customHeight="1">
      <c r="A94" s="325" t="str">
        <f t="shared" si="13"/>
        <v>NL</v>
      </c>
      <c r="B94" s="569">
        <f t="shared" si="14"/>
        <v>77</v>
      </c>
      <c r="C94" s="203" t="s">
        <v>576</v>
      </c>
      <c r="D94" s="328" t="s">
        <v>486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2599</v>
      </c>
      <c r="L94" s="8">
        <f t="shared" si="12"/>
        <v>52360662</v>
      </c>
      <c r="M94" s="329"/>
    </row>
    <row r="95" spans="1:13" ht="18" customHeight="1">
      <c r="A95" s="325" t="str">
        <f t="shared" si="13"/>
        <v>NL</v>
      </c>
      <c r="B95" s="569">
        <f t="shared" si="14"/>
        <v>78</v>
      </c>
      <c r="C95" s="203" t="s">
        <v>564</v>
      </c>
      <c r="D95" s="328" t="s">
        <v>486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100</v>
      </c>
      <c r="L95" s="8">
        <f t="shared" si="12"/>
        <v>2176600</v>
      </c>
      <c r="M95" s="329"/>
    </row>
    <row r="96" spans="1:13" ht="18" customHeight="1">
      <c r="A96" s="325" t="str">
        <f t="shared" si="13"/>
        <v>NL</v>
      </c>
      <c r="B96" s="569">
        <f t="shared" si="14"/>
        <v>79</v>
      </c>
      <c r="C96" s="40" t="s">
        <v>777</v>
      </c>
      <c r="D96" s="328" t="s">
        <v>486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300</v>
      </c>
      <c r="L96" s="8">
        <f t="shared" si="12"/>
        <v>3933600</v>
      </c>
      <c r="M96" s="329"/>
    </row>
    <row r="97" spans="1:13" ht="18" customHeight="1">
      <c r="A97" s="325" t="str">
        <f t="shared" si="13"/>
        <v>NL</v>
      </c>
      <c r="B97" s="569">
        <f t="shared" si="14"/>
        <v>80</v>
      </c>
      <c r="C97" s="40" t="s">
        <v>804</v>
      </c>
      <c r="D97" s="328" t="s">
        <v>486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100</v>
      </c>
      <c r="L97" s="8">
        <f t="shared" si="12"/>
        <v>1456200</v>
      </c>
      <c r="M97" s="329"/>
    </row>
    <row r="98" spans="1:13" ht="18" customHeight="1">
      <c r="A98" s="325" t="str">
        <f t="shared" si="13"/>
        <v>NL</v>
      </c>
      <c r="B98" s="569">
        <f t="shared" si="14"/>
        <v>81</v>
      </c>
      <c r="C98" s="330" t="s">
        <v>567</v>
      </c>
      <c r="D98" s="328" t="s">
        <v>486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300</v>
      </c>
      <c r="L98" s="8">
        <f t="shared" si="12"/>
        <v>4041300</v>
      </c>
      <c r="M98" s="329"/>
    </row>
    <row r="99" spans="1:13" ht="18" customHeight="1">
      <c r="A99" s="325" t="str">
        <f t="shared" si="13"/>
        <v>NL</v>
      </c>
      <c r="B99" s="569">
        <f t="shared" si="14"/>
        <v>82</v>
      </c>
      <c r="C99" s="40" t="s">
        <v>802</v>
      </c>
      <c r="D99" s="328" t="s">
        <v>486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50</v>
      </c>
      <c r="L99" s="8">
        <f t="shared" si="12"/>
        <v>1111200</v>
      </c>
      <c r="M99" s="329"/>
    </row>
    <row r="100" spans="1:13" ht="18" customHeight="1">
      <c r="A100" s="325" t="str">
        <f t="shared" si="13"/>
        <v>NL</v>
      </c>
      <c r="B100" s="569">
        <f t="shared" si="14"/>
        <v>83</v>
      </c>
      <c r="C100" s="40" t="s">
        <v>875</v>
      </c>
      <c r="D100" s="328" t="s">
        <v>486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292</v>
      </c>
      <c r="L100" s="8">
        <f t="shared" si="12"/>
        <v>5916212</v>
      </c>
      <c r="M100" s="329"/>
    </row>
    <row r="101" spans="1:13" ht="18" customHeight="1">
      <c r="A101" s="325" t="str">
        <f t="shared" si="13"/>
        <v>NL</v>
      </c>
      <c r="B101" s="569">
        <f t="shared" si="14"/>
        <v>84</v>
      </c>
      <c r="C101" s="40" t="s">
        <v>754</v>
      </c>
      <c r="D101" s="328" t="s">
        <v>486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50</v>
      </c>
      <c r="L101" s="8">
        <f t="shared" si="12"/>
        <v>1157750</v>
      </c>
      <c r="M101" s="329"/>
    </row>
    <row r="102" spans="1:13" ht="18" customHeight="1">
      <c r="A102" s="325" t="str">
        <f t="shared" si="13"/>
        <v>NL</v>
      </c>
      <c r="B102" s="569">
        <f t="shared" si="14"/>
        <v>85</v>
      </c>
      <c r="C102" s="40" t="s">
        <v>861</v>
      </c>
      <c r="D102" s="328" t="s">
        <v>486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120</v>
      </c>
      <c r="L102" s="8">
        <f t="shared" si="12"/>
        <v>1389360</v>
      </c>
      <c r="M102" s="329"/>
    </row>
    <row r="103" spans="1:13" ht="18" customHeight="1">
      <c r="A103" s="325" t="str">
        <f t="shared" si="13"/>
        <v>NL</v>
      </c>
      <c r="B103" s="569">
        <f t="shared" si="14"/>
        <v>86</v>
      </c>
      <c r="C103" s="203" t="s">
        <v>579</v>
      </c>
      <c r="D103" s="328" t="s">
        <v>486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285</v>
      </c>
      <c r="L103" s="8">
        <f t="shared" si="12"/>
        <v>6715635</v>
      </c>
      <c r="M103" s="329"/>
    </row>
    <row r="104" spans="1:13" ht="18" customHeight="1">
      <c r="A104" s="325" t="str">
        <f t="shared" si="13"/>
        <v>NL</v>
      </c>
      <c r="B104" s="569">
        <f t="shared" si="14"/>
        <v>87</v>
      </c>
      <c r="C104" s="40" t="s">
        <v>916</v>
      </c>
      <c r="D104" s="328" t="s">
        <v>486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440</v>
      </c>
      <c r="L104" s="8">
        <f t="shared" si="12"/>
        <v>10282800</v>
      </c>
      <c r="M104" s="329"/>
    </row>
    <row r="105" spans="1:13" ht="18" customHeight="1">
      <c r="A105" s="325" t="str">
        <f t="shared" si="13"/>
        <v>NL</v>
      </c>
      <c r="B105" s="569">
        <f t="shared" si="14"/>
        <v>88</v>
      </c>
      <c r="C105" s="40" t="s">
        <v>709</v>
      </c>
      <c r="D105" s="328" t="s">
        <v>486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130</v>
      </c>
      <c r="L105" s="8">
        <f t="shared" si="12"/>
        <v>3052010</v>
      </c>
      <c r="M105" s="329"/>
    </row>
    <row r="106" spans="1:13" ht="18" customHeight="1">
      <c r="A106" s="325" t="str">
        <f t="shared" si="13"/>
        <v>NL</v>
      </c>
      <c r="B106" s="569">
        <f t="shared" si="14"/>
        <v>89</v>
      </c>
      <c r="C106" s="40" t="s">
        <v>831</v>
      </c>
      <c r="D106" s="328" t="s">
        <v>486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300</v>
      </c>
      <c r="L106" s="8">
        <f t="shared" si="12"/>
        <v>4365900</v>
      </c>
      <c r="M106" s="329"/>
    </row>
    <row r="107" spans="1:13" ht="18" customHeight="1">
      <c r="A107" s="325" t="str">
        <f t="shared" si="13"/>
        <v>NL</v>
      </c>
      <c r="B107" s="569">
        <f t="shared" si="14"/>
        <v>90</v>
      </c>
      <c r="C107" s="40" t="s">
        <v>805</v>
      </c>
      <c r="D107" s="328" t="s">
        <v>486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200</v>
      </c>
      <c r="L107" s="8">
        <f t="shared" si="12"/>
        <v>3123600</v>
      </c>
      <c r="M107" s="329"/>
    </row>
    <row r="108" spans="1:13" ht="18" customHeight="1">
      <c r="A108" s="325" t="str">
        <f t="shared" si="13"/>
        <v>NL</v>
      </c>
      <c r="B108" s="569">
        <f t="shared" si="14"/>
        <v>91</v>
      </c>
      <c r="C108" s="40" t="s">
        <v>752</v>
      </c>
      <c r="D108" s="328" t="s">
        <v>486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50</v>
      </c>
      <c r="L108" s="8">
        <f t="shared" si="12"/>
        <v>1088100</v>
      </c>
      <c r="M108" s="329"/>
    </row>
    <row r="109" spans="1:13" ht="18" customHeight="1">
      <c r="A109" s="325" t="str">
        <f t="shared" si="13"/>
        <v>NL</v>
      </c>
      <c r="B109" s="569">
        <f t="shared" si="14"/>
        <v>92</v>
      </c>
      <c r="C109" s="40" t="s">
        <v>755</v>
      </c>
      <c r="D109" s="328" t="s">
        <v>486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100</v>
      </c>
      <c r="L109" s="8">
        <f t="shared" si="12"/>
        <v>1275700</v>
      </c>
      <c r="M109" s="329"/>
    </row>
    <row r="110" spans="1:13" ht="18" customHeight="1">
      <c r="A110" s="325" t="str">
        <f t="shared" si="13"/>
        <v>NL</v>
      </c>
      <c r="B110" s="569">
        <f t="shared" si="14"/>
        <v>93</v>
      </c>
      <c r="C110" s="203" t="s">
        <v>577</v>
      </c>
      <c r="D110" s="328" t="s">
        <v>486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276</v>
      </c>
      <c r="L110" s="8">
        <f t="shared" si="12"/>
        <v>6089808</v>
      </c>
      <c r="M110" s="329"/>
    </row>
    <row r="111" spans="1:13" ht="18" customHeight="1">
      <c r="A111" s="325" t="str">
        <f t="shared" si="13"/>
        <v>NL</v>
      </c>
      <c r="B111" s="569">
        <f t="shared" si="14"/>
        <v>94</v>
      </c>
      <c r="C111" s="40" t="s">
        <v>710</v>
      </c>
      <c r="D111" s="328" t="s">
        <v>486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100</v>
      </c>
      <c r="L111" s="8">
        <f t="shared" si="12"/>
        <v>1281400</v>
      </c>
      <c r="M111" s="329"/>
    </row>
    <row r="112" spans="1:13" ht="18" customHeight="1">
      <c r="A112" s="325" t="str">
        <f t="shared" si="13"/>
        <v>NL</v>
      </c>
      <c r="B112" s="569">
        <f t="shared" si="14"/>
        <v>95</v>
      </c>
      <c r="C112" s="40" t="s">
        <v>911</v>
      </c>
      <c r="D112" s="328" t="s">
        <v>486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630</v>
      </c>
      <c r="L112" s="8">
        <f t="shared" si="12"/>
        <v>8216460</v>
      </c>
      <c r="M112" s="329"/>
    </row>
    <row r="113" spans="1:13" ht="18" customHeight="1">
      <c r="A113" s="325" t="str">
        <f t="shared" si="13"/>
        <v>NL</v>
      </c>
      <c r="B113" s="569">
        <f t="shared" si="14"/>
        <v>96</v>
      </c>
      <c r="C113" s="40" t="s">
        <v>712</v>
      </c>
      <c r="D113" s="328" t="s">
        <v>486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100</v>
      </c>
      <c r="L113" s="8">
        <f t="shared" si="12"/>
        <v>1378200</v>
      </c>
      <c r="M113" s="329"/>
    </row>
    <row r="114" spans="1:13" ht="18" customHeight="1">
      <c r="A114" s="325" t="str">
        <f t="shared" si="13"/>
        <v>NL</v>
      </c>
      <c r="B114" s="569">
        <f t="shared" si="14"/>
        <v>97</v>
      </c>
      <c r="C114" s="40" t="s">
        <v>821</v>
      </c>
      <c r="D114" s="328" t="s">
        <v>486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134</v>
      </c>
      <c r="L114" s="8">
        <f t="shared" si="12"/>
        <v>2328384</v>
      </c>
      <c r="M114" s="329"/>
    </row>
    <row r="115" spans="1:13" ht="18" customHeight="1">
      <c r="A115" s="325" t="str">
        <f t="shared" si="13"/>
        <v>NL</v>
      </c>
      <c r="B115" s="569">
        <f t="shared" si="14"/>
        <v>98</v>
      </c>
      <c r="C115" s="40" t="s">
        <v>767</v>
      </c>
      <c r="D115" s="328" t="s">
        <v>486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100</v>
      </c>
      <c r="L115" s="8">
        <f t="shared" si="12"/>
        <v>592800</v>
      </c>
      <c r="M115" s="329"/>
    </row>
    <row r="116" spans="1:13" ht="18" customHeight="1">
      <c r="A116" s="325" t="str">
        <f t="shared" si="13"/>
        <v>NL</v>
      </c>
      <c r="B116" s="569">
        <f t="shared" si="14"/>
        <v>99</v>
      </c>
      <c r="C116" s="40" t="s">
        <v>981</v>
      </c>
      <c r="D116" s="328" t="s">
        <v>486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680</v>
      </c>
      <c r="L116" s="8">
        <f t="shared" si="12"/>
        <v>4898720</v>
      </c>
      <c r="M116" s="329"/>
    </row>
    <row r="117" spans="1:13" ht="18" customHeight="1">
      <c r="A117" s="325" t="str">
        <f t="shared" si="13"/>
        <v>NL</v>
      </c>
      <c r="B117" s="569">
        <f t="shared" si="14"/>
        <v>100</v>
      </c>
      <c r="C117" s="40" t="s">
        <v>988</v>
      </c>
      <c r="D117" s="328" t="s">
        <v>486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200</v>
      </c>
      <c r="L117" s="8">
        <f t="shared" si="12"/>
        <v>885800</v>
      </c>
      <c r="M117" s="329"/>
    </row>
    <row r="118" spans="1:13" ht="18" customHeight="1">
      <c r="A118" s="325" t="str">
        <f t="shared" si="13"/>
        <v>NL</v>
      </c>
      <c r="B118" s="569">
        <f t="shared" si="14"/>
        <v>101</v>
      </c>
      <c r="C118" s="40" t="s">
        <v>799</v>
      </c>
      <c r="D118" s="328" t="s">
        <v>486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150</v>
      </c>
      <c r="L118" s="8">
        <f t="shared" si="12"/>
        <v>729600</v>
      </c>
      <c r="M118" s="329"/>
    </row>
    <row r="119" spans="1:13" ht="18" customHeight="1">
      <c r="A119" s="325" t="str">
        <f t="shared" si="13"/>
        <v>NL</v>
      </c>
      <c r="B119" s="569">
        <f t="shared" si="14"/>
        <v>102</v>
      </c>
      <c r="C119" s="40" t="s">
        <v>719</v>
      </c>
      <c r="D119" s="328" t="s">
        <v>486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520</v>
      </c>
      <c r="L119" s="8">
        <f t="shared" si="12"/>
        <v>4693900</v>
      </c>
      <c r="M119" s="329"/>
    </row>
    <row r="120" spans="1:13" ht="18" customHeight="1">
      <c r="A120" s="325" t="str">
        <f t="shared" si="13"/>
        <v>NL</v>
      </c>
      <c r="B120" s="569">
        <f t="shared" si="14"/>
        <v>103</v>
      </c>
      <c r="C120" s="40" t="s">
        <v>846</v>
      </c>
      <c r="D120" s="328" t="s">
        <v>486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670</v>
      </c>
      <c r="L120" s="8">
        <f t="shared" si="12"/>
        <v>3303770</v>
      </c>
      <c r="M120" s="329"/>
    </row>
    <row r="121" spans="1:13" ht="18" customHeight="1">
      <c r="A121" s="325" t="str">
        <f t="shared" si="13"/>
        <v>NL</v>
      </c>
      <c r="B121" s="569">
        <f t="shared" si="14"/>
        <v>104</v>
      </c>
      <c r="C121" s="40" t="s">
        <v>818</v>
      </c>
      <c r="D121" s="328" t="s">
        <v>486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150</v>
      </c>
      <c r="L121" s="8">
        <f t="shared" si="12"/>
        <v>1036800</v>
      </c>
      <c r="M121" s="329"/>
    </row>
    <row r="122" spans="1:13" ht="18" customHeight="1">
      <c r="A122" s="325" t="str">
        <f t="shared" si="13"/>
        <v>NL</v>
      </c>
      <c r="B122" s="569">
        <f t="shared" si="14"/>
        <v>105</v>
      </c>
      <c r="C122" s="40" t="s">
        <v>913</v>
      </c>
      <c r="D122" s="328" t="s">
        <v>486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268</v>
      </c>
      <c r="L122" s="8">
        <f t="shared" si="12"/>
        <v>5684280</v>
      </c>
      <c r="M122" s="329"/>
    </row>
    <row r="123" spans="1:13" ht="18" customHeight="1">
      <c r="A123" s="325" t="str">
        <f t="shared" si="13"/>
        <v>NL</v>
      </c>
      <c r="B123" s="569">
        <f t="shared" si="14"/>
        <v>106</v>
      </c>
      <c r="C123" s="203" t="s">
        <v>561</v>
      </c>
      <c r="D123" s="328" t="s">
        <v>486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100</v>
      </c>
      <c r="L123" s="8">
        <f t="shared" si="12"/>
        <v>1143500</v>
      </c>
      <c r="M123" s="329"/>
    </row>
    <row r="124" spans="1:13" ht="18" customHeight="1">
      <c r="A124" s="325" t="str">
        <f t="shared" si="13"/>
        <v>NL</v>
      </c>
      <c r="B124" s="569">
        <f t="shared" si="14"/>
        <v>107</v>
      </c>
      <c r="C124" s="40" t="s">
        <v>957</v>
      </c>
      <c r="D124" s="328" t="s">
        <v>486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110</v>
      </c>
      <c r="L124" s="8">
        <f t="shared" si="12"/>
        <v>1494900</v>
      </c>
      <c r="M124" s="329"/>
    </row>
    <row r="125" spans="1:13" ht="18" customHeight="1">
      <c r="A125" s="325" t="str">
        <f t="shared" si="13"/>
        <v>NL</v>
      </c>
      <c r="B125" s="569">
        <f t="shared" si="14"/>
        <v>108</v>
      </c>
      <c r="C125" s="203" t="s">
        <v>626</v>
      </c>
      <c r="D125" s="328" t="s">
        <v>486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250</v>
      </c>
      <c r="L125" s="8">
        <f t="shared" si="12"/>
        <v>3183750</v>
      </c>
      <c r="M125" s="329"/>
    </row>
    <row r="126" spans="1:13" ht="18" customHeight="1">
      <c r="A126" s="325" t="str">
        <f t="shared" si="13"/>
        <v>NL</v>
      </c>
      <c r="B126" s="569">
        <f t="shared" si="14"/>
        <v>109</v>
      </c>
      <c r="C126" s="40" t="s">
        <v>747</v>
      </c>
      <c r="D126" s="328" t="s">
        <v>486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315</v>
      </c>
      <c r="L126" s="8">
        <f t="shared" si="12"/>
        <v>5490570</v>
      </c>
      <c r="M126" s="329"/>
    </row>
    <row r="127" spans="1:13" ht="18" customHeight="1">
      <c r="A127" s="325" t="str">
        <f t="shared" si="13"/>
        <v>NL</v>
      </c>
      <c r="B127" s="569">
        <f t="shared" si="14"/>
        <v>110</v>
      </c>
      <c r="C127" s="40" t="s">
        <v>779</v>
      </c>
      <c r="D127" s="328" t="s">
        <v>486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1750</v>
      </c>
      <c r="L127" s="8">
        <f t="shared" si="12"/>
        <v>21058600</v>
      </c>
      <c r="M127" s="329"/>
    </row>
    <row r="128" spans="1:13" ht="18" customHeight="1">
      <c r="A128" s="325" t="str">
        <f t="shared" si="13"/>
        <v>NL</v>
      </c>
      <c r="B128" s="569">
        <f t="shared" si="14"/>
        <v>111</v>
      </c>
      <c r="C128" s="203" t="s">
        <v>585</v>
      </c>
      <c r="D128" s="328" t="s">
        <v>486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10</v>
      </c>
      <c r="L128" s="8">
        <f t="shared" si="12"/>
        <v>190040</v>
      </c>
      <c r="M128" s="329"/>
    </row>
    <row r="129" spans="1:13" ht="18" customHeight="1">
      <c r="A129" s="325" t="str">
        <f t="shared" si="13"/>
        <v>NL</v>
      </c>
      <c r="B129" s="569">
        <f t="shared" si="14"/>
        <v>112</v>
      </c>
      <c r="C129" s="40" t="s">
        <v>800</v>
      </c>
      <c r="D129" s="328" t="s">
        <v>486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6700</v>
      </c>
      <c r="L129" s="8">
        <f t="shared" si="12"/>
        <v>72192500</v>
      </c>
      <c r="M129" s="329"/>
    </row>
    <row r="130" spans="1:13" ht="18" customHeight="1">
      <c r="A130" s="325" t="str">
        <f t="shared" si="13"/>
        <v>NL</v>
      </c>
      <c r="B130" s="569">
        <f t="shared" si="14"/>
        <v>113</v>
      </c>
      <c r="C130" s="40" t="s">
        <v>1002</v>
      </c>
      <c r="D130" s="328" t="s">
        <v>486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240</v>
      </c>
      <c r="L130" s="8">
        <f t="shared" si="12"/>
        <v>4788000</v>
      </c>
      <c r="M130" s="329"/>
    </row>
    <row r="131" spans="1:13" ht="18" customHeight="1">
      <c r="A131" s="325" t="str">
        <f t="shared" si="13"/>
        <v>NL</v>
      </c>
      <c r="B131" s="569">
        <f t="shared" si="14"/>
        <v>114</v>
      </c>
      <c r="C131" s="40" t="s">
        <v>1004</v>
      </c>
      <c r="D131" s="328" t="s">
        <v>486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340</v>
      </c>
      <c r="L131" s="8">
        <f t="shared" si="12"/>
        <v>5402260</v>
      </c>
      <c r="M131" s="329"/>
    </row>
    <row r="132" spans="1:13" ht="18" customHeight="1">
      <c r="A132" s="325" t="str">
        <f t="shared" si="13"/>
        <v>NL</v>
      </c>
      <c r="B132" s="569">
        <f t="shared" si="14"/>
        <v>115</v>
      </c>
      <c r="C132" s="40" t="s">
        <v>715</v>
      </c>
      <c r="D132" s="328" t="s">
        <v>486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320</v>
      </c>
      <c r="L132" s="8">
        <f t="shared" si="12"/>
        <v>3723200</v>
      </c>
      <c r="M132" s="329"/>
    </row>
    <row r="133" spans="1:13" ht="18" customHeight="1">
      <c r="A133" s="325" t="str">
        <f t="shared" si="13"/>
        <v>NL</v>
      </c>
      <c r="B133" s="569">
        <f t="shared" si="14"/>
        <v>116</v>
      </c>
      <c r="C133" s="40" t="s">
        <v>970</v>
      </c>
      <c r="D133" s="328" t="s">
        <v>486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480</v>
      </c>
      <c r="L133" s="8">
        <f t="shared" si="12"/>
        <v>6706080</v>
      </c>
      <c r="M133" s="329"/>
    </row>
    <row r="134" spans="1:13" ht="18" customHeight="1">
      <c r="A134" s="325" t="str">
        <f t="shared" si="13"/>
        <v>NL</v>
      </c>
      <c r="B134" s="569">
        <f t="shared" si="14"/>
        <v>117</v>
      </c>
      <c r="C134" s="40" t="s">
        <v>864</v>
      </c>
      <c r="D134" s="328" t="s">
        <v>486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440</v>
      </c>
      <c r="L134" s="8">
        <f t="shared" si="12"/>
        <v>5199480</v>
      </c>
      <c r="M134" s="329"/>
    </row>
    <row r="135" spans="1:13" ht="18" customHeight="1">
      <c r="A135" s="325" t="str">
        <f t="shared" si="13"/>
        <v>NL</v>
      </c>
      <c r="B135" s="569">
        <f t="shared" si="14"/>
        <v>118</v>
      </c>
      <c r="C135" s="40" t="s">
        <v>962</v>
      </c>
      <c r="D135" s="328" t="s">
        <v>486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1250</v>
      </c>
      <c r="L135" s="8">
        <f t="shared" si="12"/>
        <v>17498750</v>
      </c>
      <c r="M135" s="329"/>
    </row>
    <row r="136" spans="1:13" ht="18" customHeight="1">
      <c r="A136" s="325" t="str">
        <f t="shared" si="13"/>
        <v>NL</v>
      </c>
      <c r="B136" s="569">
        <f t="shared" si="14"/>
        <v>119</v>
      </c>
      <c r="C136" s="40" t="s">
        <v>1057</v>
      </c>
      <c r="D136" s="328" t="s">
        <v>486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100</v>
      </c>
      <c r="L136" s="8">
        <f t="shared" si="12"/>
        <v>1666500</v>
      </c>
      <c r="M136" s="329"/>
    </row>
    <row r="137" spans="1:13" ht="18" customHeight="1">
      <c r="A137" s="325" t="str">
        <f t="shared" si="13"/>
        <v>NL</v>
      </c>
      <c r="B137" s="569">
        <f t="shared" si="14"/>
        <v>120</v>
      </c>
      <c r="C137" s="40" t="s">
        <v>816</v>
      </c>
      <c r="D137" s="328" t="s">
        <v>486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250</v>
      </c>
      <c r="L137" s="8">
        <f t="shared" si="12"/>
        <v>3920000</v>
      </c>
      <c r="M137" s="329"/>
    </row>
    <row r="138" spans="1:13" ht="18" customHeight="1">
      <c r="A138" s="325" t="str">
        <f t="shared" si="13"/>
        <v>NL</v>
      </c>
      <c r="B138" s="569">
        <f t="shared" si="14"/>
        <v>121</v>
      </c>
      <c r="C138" s="40" t="s">
        <v>833</v>
      </c>
      <c r="D138" s="328" t="s">
        <v>486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225</v>
      </c>
      <c r="L138" s="8">
        <f t="shared" si="12"/>
        <v>4406400</v>
      </c>
      <c r="M138" s="329"/>
    </row>
    <row r="139" spans="1:13" ht="18" customHeight="1">
      <c r="A139" s="325" t="str">
        <f t="shared" si="13"/>
        <v>NL</v>
      </c>
      <c r="B139" s="569">
        <f t="shared" si="14"/>
        <v>122</v>
      </c>
      <c r="C139" s="40" t="s">
        <v>757</v>
      </c>
      <c r="D139" s="328" t="s">
        <v>486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129</v>
      </c>
      <c r="L139" s="8">
        <f t="shared" si="12"/>
        <v>1531617</v>
      </c>
      <c r="M139" s="329"/>
    </row>
    <row r="140" spans="1:13" ht="18" customHeight="1">
      <c r="A140" s="325" t="str">
        <f t="shared" si="13"/>
        <v>NL</v>
      </c>
      <c r="B140" s="569">
        <f t="shared" si="14"/>
        <v>123</v>
      </c>
      <c r="C140" s="40" t="s">
        <v>716</v>
      </c>
      <c r="D140" s="328" t="s">
        <v>486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500</v>
      </c>
      <c r="L140" s="8">
        <f t="shared" si="12"/>
        <v>7956500</v>
      </c>
      <c r="M140" s="329"/>
    </row>
    <row r="141" spans="1:13" ht="18" customHeight="1">
      <c r="A141" s="325" t="str">
        <f t="shared" si="13"/>
        <v>NL</v>
      </c>
      <c r="B141" s="569">
        <f t="shared" si="14"/>
        <v>124</v>
      </c>
      <c r="C141" s="203" t="s">
        <v>559</v>
      </c>
      <c r="D141" s="328" t="s">
        <v>486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420</v>
      </c>
      <c r="L141" s="8">
        <f t="shared" si="12"/>
        <v>7198380</v>
      </c>
      <c r="M141" s="329"/>
    </row>
    <row r="142" spans="1:13" ht="18" customHeight="1">
      <c r="A142" s="325" t="str">
        <f t="shared" si="13"/>
        <v>NL</v>
      </c>
      <c r="B142" s="569">
        <f t="shared" si="14"/>
        <v>125</v>
      </c>
      <c r="C142" s="40" t="s">
        <v>947</v>
      </c>
      <c r="D142" s="328" t="s">
        <v>486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220</v>
      </c>
      <c r="L142" s="8">
        <f t="shared" si="12"/>
        <v>3526380</v>
      </c>
      <c r="M142" s="329"/>
    </row>
    <row r="143" spans="1:13" ht="18" customHeight="1">
      <c r="A143" s="325" t="str">
        <f t="shared" si="13"/>
        <v>NL</v>
      </c>
      <c r="B143" s="569">
        <f t="shared" si="14"/>
        <v>126</v>
      </c>
      <c r="C143" s="40" t="s">
        <v>826</v>
      </c>
      <c r="D143" s="328" t="s">
        <v>486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3390</v>
      </c>
      <c r="L143" s="8">
        <f t="shared" si="12"/>
        <v>75600390</v>
      </c>
      <c r="M143" s="329"/>
    </row>
    <row r="144" spans="1:13" ht="18" customHeight="1">
      <c r="A144" s="325" t="str">
        <f t="shared" si="13"/>
        <v>NL</v>
      </c>
      <c r="B144" s="569">
        <f t="shared" si="14"/>
        <v>127</v>
      </c>
      <c r="C144" s="40" t="s">
        <v>764</v>
      </c>
      <c r="D144" s="328" t="s">
        <v>486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900</v>
      </c>
      <c r="L144" s="8">
        <f t="shared" si="12"/>
        <v>10035000</v>
      </c>
      <c r="M144" s="329"/>
    </row>
    <row r="145" spans="1:13" ht="18" customHeight="1">
      <c r="A145" s="325" t="str">
        <f t="shared" si="13"/>
        <v>NL</v>
      </c>
      <c r="B145" s="569">
        <f t="shared" si="14"/>
        <v>128</v>
      </c>
      <c r="C145" s="40" t="s">
        <v>1035</v>
      </c>
      <c r="D145" s="328" t="s">
        <v>486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150</v>
      </c>
      <c r="L145" s="8">
        <f t="shared" si="12"/>
        <v>1895250</v>
      </c>
      <c r="M145" s="329"/>
    </row>
    <row r="146" spans="1:13" ht="18" customHeight="1">
      <c r="A146" s="325" t="str">
        <f t="shared" si="13"/>
        <v>NL</v>
      </c>
      <c r="B146" s="569">
        <f t="shared" si="14"/>
        <v>129</v>
      </c>
      <c r="C146" s="40" t="s">
        <v>824</v>
      </c>
      <c r="D146" s="328" t="s">
        <v>486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100</v>
      </c>
      <c r="L146" s="8">
        <f t="shared" ref="L146:L209" si="16">F146+H146-J146</f>
        <v>2172800</v>
      </c>
      <c r="M146" s="329"/>
    </row>
    <row r="147" spans="1:13" ht="18" customHeight="1">
      <c r="A147" s="325" t="str">
        <f t="shared" ref="A147:A210" si="17">IF(B147&lt;&gt;"","NL","")</f>
        <v>NL</v>
      </c>
      <c r="B147" s="569">
        <f t="shared" ref="B147:B210" si="18">IF(C147&lt;&gt;"",B146+1,"")</f>
        <v>130</v>
      </c>
      <c r="C147" s="40" t="s">
        <v>972</v>
      </c>
      <c r="D147" s="328" t="s">
        <v>486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1500</v>
      </c>
      <c r="L147" s="8">
        <f t="shared" si="16"/>
        <v>23497500</v>
      </c>
      <c r="M147" s="329"/>
    </row>
    <row r="148" spans="1:13" ht="18" customHeight="1">
      <c r="A148" s="325" t="str">
        <f t="shared" si="17"/>
        <v>NL</v>
      </c>
      <c r="B148" s="569">
        <f t="shared" si="18"/>
        <v>131</v>
      </c>
      <c r="C148" s="40" t="s">
        <v>792</v>
      </c>
      <c r="D148" s="328" t="s">
        <v>486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100</v>
      </c>
      <c r="L148" s="8">
        <f t="shared" si="16"/>
        <v>1446300</v>
      </c>
      <c r="M148" s="329"/>
    </row>
    <row r="149" spans="1:13" ht="18" customHeight="1">
      <c r="A149" s="325" t="str">
        <f t="shared" si="17"/>
        <v>NL</v>
      </c>
      <c r="B149" s="569">
        <f t="shared" si="18"/>
        <v>132</v>
      </c>
      <c r="C149" s="330" t="s">
        <v>554</v>
      </c>
      <c r="D149" s="328" t="s">
        <v>486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100</v>
      </c>
      <c r="L149" s="8">
        <f t="shared" si="16"/>
        <v>1698800</v>
      </c>
      <c r="M149" s="329"/>
    </row>
    <row r="150" spans="1:13" ht="18" customHeight="1">
      <c r="A150" s="325" t="str">
        <f t="shared" si="17"/>
        <v>NL</v>
      </c>
      <c r="B150" s="569">
        <f t="shared" si="18"/>
        <v>133</v>
      </c>
      <c r="C150" s="40" t="s">
        <v>850</v>
      </c>
      <c r="D150" s="328" t="s">
        <v>486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250</v>
      </c>
      <c r="L150" s="8">
        <f t="shared" si="16"/>
        <v>3844250</v>
      </c>
      <c r="M150" s="329"/>
    </row>
    <row r="151" spans="1:13" ht="18" customHeight="1">
      <c r="A151" s="325" t="str">
        <f t="shared" si="17"/>
        <v>NL</v>
      </c>
      <c r="B151" s="569">
        <f t="shared" si="18"/>
        <v>134</v>
      </c>
      <c r="C151" s="40" t="s">
        <v>793</v>
      </c>
      <c r="D151" s="328" t="s">
        <v>486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4495</v>
      </c>
      <c r="L151" s="8">
        <f t="shared" si="16"/>
        <v>82285470</v>
      </c>
      <c r="M151" s="329"/>
    </row>
    <row r="152" spans="1:13" ht="18" customHeight="1">
      <c r="A152" s="325" t="str">
        <f t="shared" si="17"/>
        <v>NL</v>
      </c>
      <c r="B152" s="569">
        <f t="shared" si="18"/>
        <v>135</v>
      </c>
      <c r="C152" s="40" t="s">
        <v>718</v>
      </c>
      <c r="D152" s="328" t="s">
        <v>486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350</v>
      </c>
      <c r="L152" s="8">
        <f t="shared" si="16"/>
        <v>6495650</v>
      </c>
      <c r="M152" s="329"/>
    </row>
    <row r="153" spans="1:13" ht="18" customHeight="1">
      <c r="A153" s="325" t="str">
        <f t="shared" si="17"/>
        <v>NL</v>
      </c>
      <c r="B153" s="569">
        <f t="shared" si="18"/>
        <v>136</v>
      </c>
      <c r="C153" s="40" t="s">
        <v>814</v>
      </c>
      <c r="D153" s="328" t="s">
        <v>486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500</v>
      </c>
      <c r="L153" s="8">
        <f t="shared" si="16"/>
        <v>6310000</v>
      </c>
      <c r="M153" s="329"/>
    </row>
    <row r="154" spans="1:13" ht="18" customHeight="1">
      <c r="A154" s="325" t="str">
        <f t="shared" si="17"/>
        <v>NL</v>
      </c>
      <c r="B154" s="569">
        <f t="shared" si="18"/>
        <v>137</v>
      </c>
      <c r="C154" s="40" t="s">
        <v>809</v>
      </c>
      <c r="D154" s="328" t="s">
        <v>486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100</v>
      </c>
      <c r="L154" s="8">
        <f t="shared" si="16"/>
        <v>1855900</v>
      </c>
      <c r="M154" s="329"/>
    </row>
    <row r="155" spans="1:13" ht="18" customHeight="1">
      <c r="A155" s="325" t="str">
        <f t="shared" si="17"/>
        <v>NL</v>
      </c>
      <c r="B155" s="569">
        <f t="shared" si="18"/>
        <v>138</v>
      </c>
      <c r="C155" s="40" t="s">
        <v>717</v>
      </c>
      <c r="D155" s="328" t="s">
        <v>486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50</v>
      </c>
      <c r="L155" s="8">
        <f t="shared" si="16"/>
        <v>865300</v>
      </c>
      <c r="M155" s="329"/>
    </row>
    <row r="156" spans="1:13" ht="18" customHeight="1">
      <c r="A156" s="325" t="str">
        <f t="shared" si="17"/>
        <v>NL</v>
      </c>
      <c r="B156" s="569">
        <f t="shared" si="18"/>
        <v>139</v>
      </c>
      <c r="C156" s="40" t="s">
        <v>788</v>
      </c>
      <c r="D156" s="328" t="s">
        <v>486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990</v>
      </c>
      <c r="L156" s="8">
        <f t="shared" si="16"/>
        <v>15666750</v>
      </c>
      <c r="M156" s="329"/>
    </row>
    <row r="157" spans="1:13" ht="18" customHeight="1">
      <c r="A157" s="325" t="str">
        <f t="shared" si="17"/>
        <v>NL</v>
      </c>
      <c r="B157" s="569">
        <f t="shared" si="18"/>
        <v>140</v>
      </c>
      <c r="C157" s="40" t="s">
        <v>815</v>
      </c>
      <c r="D157" s="328" t="s">
        <v>486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1982</v>
      </c>
      <c r="L157" s="8">
        <f t="shared" si="16"/>
        <v>29813048</v>
      </c>
      <c r="M157" s="329"/>
    </row>
    <row r="158" spans="1:13" ht="18" customHeight="1">
      <c r="A158" s="325" t="str">
        <f t="shared" si="17"/>
        <v>NL</v>
      </c>
      <c r="B158" s="569">
        <f t="shared" si="18"/>
        <v>141</v>
      </c>
      <c r="C158" s="40" t="s">
        <v>1042</v>
      </c>
      <c r="D158" s="328" t="s">
        <v>486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150</v>
      </c>
      <c r="L158" s="8">
        <f t="shared" si="16"/>
        <v>3420000</v>
      </c>
      <c r="M158" s="329"/>
    </row>
    <row r="159" spans="1:13" ht="18" customHeight="1">
      <c r="A159" s="325" t="str">
        <f t="shared" si="17"/>
        <v>NL</v>
      </c>
      <c r="B159" s="569">
        <f t="shared" si="18"/>
        <v>142</v>
      </c>
      <c r="C159" s="40" t="s">
        <v>931</v>
      </c>
      <c r="D159" s="328" t="s">
        <v>486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250</v>
      </c>
      <c r="L159" s="8">
        <f t="shared" si="16"/>
        <v>4668250</v>
      </c>
      <c r="M159" s="329"/>
    </row>
    <row r="160" spans="1:13" ht="18" customHeight="1">
      <c r="A160" s="325" t="str">
        <f t="shared" si="17"/>
        <v>NL</v>
      </c>
      <c r="B160" s="569">
        <f t="shared" si="18"/>
        <v>143</v>
      </c>
      <c r="C160" s="40" t="s">
        <v>786</v>
      </c>
      <c r="D160" s="328" t="s">
        <v>486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100</v>
      </c>
      <c r="L160" s="8">
        <f t="shared" si="16"/>
        <v>2325000</v>
      </c>
      <c r="M160" s="329"/>
    </row>
    <row r="161" spans="1:13" ht="18" customHeight="1">
      <c r="A161" s="325" t="str">
        <f t="shared" si="17"/>
        <v>NL</v>
      </c>
      <c r="B161" s="569">
        <f t="shared" si="18"/>
        <v>144</v>
      </c>
      <c r="C161" s="40" t="s">
        <v>922</v>
      </c>
      <c r="D161" s="328" t="s">
        <v>486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250</v>
      </c>
      <c r="L161" s="8">
        <f t="shared" si="16"/>
        <v>4960750</v>
      </c>
      <c r="M161" s="329"/>
    </row>
    <row r="162" spans="1:13" ht="18" customHeight="1">
      <c r="A162" s="325" t="str">
        <f t="shared" si="17"/>
        <v>NL</v>
      </c>
      <c r="B162" s="569">
        <f t="shared" si="18"/>
        <v>145</v>
      </c>
      <c r="C162" s="40" t="s">
        <v>726</v>
      </c>
      <c r="D162" s="328" t="s">
        <v>486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1000</v>
      </c>
      <c r="L162" s="8">
        <f t="shared" si="16"/>
        <v>22846000</v>
      </c>
      <c r="M162" s="329"/>
    </row>
    <row r="163" spans="1:13" ht="18" customHeight="1">
      <c r="A163" s="325" t="str">
        <f t="shared" si="17"/>
        <v>NL</v>
      </c>
      <c r="B163" s="569">
        <f t="shared" si="18"/>
        <v>146</v>
      </c>
      <c r="C163" s="40" t="s">
        <v>963</v>
      </c>
      <c r="D163" s="328" t="s">
        <v>486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250</v>
      </c>
      <c r="L163" s="8">
        <f t="shared" si="16"/>
        <v>3404750</v>
      </c>
      <c r="M163" s="329"/>
    </row>
    <row r="164" spans="1:13" ht="18" customHeight="1">
      <c r="A164" s="325" t="str">
        <f t="shared" si="17"/>
        <v>NL</v>
      </c>
      <c r="B164" s="569">
        <f t="shared" si="18"/>
        <v>147</v>
      </c>
      <c r="C164" s="40" t="s">
        <v>724</v>
      </c>
      <c r="D164" s="328" t="s">
        <v>486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300</v>
      </c>
      <c r="L164" s="8">
        <f t="shared" si="16"/>
        <v>4312500</v>
      </c>
      <c r="M164" s="329"/>
    </row>
    <row r="165" spans="1:13" ht="18" customHeight="1">
      <c r="A165" s="325" t="str">
        <f t="shared" si="17"/>
        <v>NL</v>
      </c>
      <c r="B165" s="569">
        <f t="shared" si="18"/>
        <v>148</v>
      </c>
      <c r="C165" s="330" t="s">
        <v>556</v>
      </c>
      <c r="D165" s="328" t="s">
        <v>486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150</v>
      </c>
      <c r="L165" s="8">
        <f t="shared" si="16"/>
        <v>2564550</v>
      </c>
      <c r="M165" s="329"/>
    </row>
    <row r="166" spans="1:13" ht="18" customHeight="1">
      <c r="A166" s="325" t="str">
        <f t="shared" si="17"/>
        <v>NL</v>
      </c>
      <c r="B166" s="569">
        <f t="shared" si="18"/>
        <v>149</v>
      </c>
      <c r="C166" s="40" t="s">
        <v>791</v>
      </c>
      <c r="D166" s="328" t="s">
        <v>486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1350</v>
      </c>
      <c r="L166" s="8">
        <f t="shared" si="16"/>
        <v>23975500</v>
      </c>
      <c r="M166" s="329"/>
    </row>
    <row r="167" spans="1:13" ht="18" customHeight="1">
      <c r="A167" s="325" t="str">
        <f t="shared" si="17"/>
        <v>NL</v>
      </c>
      <c r="B167" s="569">
        <f t="shared" si="18"/>
        <v>150</v>
      </c>
      <c r="C167" s="40" t="s">
        <v>835</v>
      </c>
      <c r="D167" s="328" t="s">
        <v>486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150</v>
      </c>
      <c r="L167" s="8">
        <f t="shared" si="16"/>
        <v>2988600</v>
      </c>
      <c r="M167" s="329"/>
    </row>
    <row r="168" spans="1:13" ht="18" customHeight="1">
      <c r="A168" s="325" t="str">
        <f t="shared" si="17"/>
        <v>NL</v>
      </c>
      <c r="B168" s="569">
        <f t="shared" si="18"/>
        <v>151</v>
      </c>
      <c r="C168" s="40" t="s">
        <v>1059</v>
      </c>
      <c r="D168" s="328" t="s">
        <v>486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12575</v>
      </c>
      <c r="L168" s="8">
        <f t="shared" si="16"/>
        <v>250438835</v>
      </c>
      <c r="M168" s="329"/>
    </row>
    <row r="169" spans="1:13" ht="18" customHeight="1">
      <c r="A169" s="325" t="str">
        <f t="shared" si="17"/>
        <v>NL</v>
      </c>
      <c r="B169" s="569">
        <f t="shared" si="18"/>
        <v>152</v>
      </c>
      <c r="C169" s="203" t="s">
        <v>584</v>
      </c>
      <c r="D169" s="328" t="s">
        <v>486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110</v>
      </c>
      <c r="L169" s="8">
        <f t="shared" si="16"/>
        <v>2702260</v>
      </c>
      <c r="M169" s="329"/>
    </row>
    <row r="170" spans="1:13" ht="18" customHeight="1">
      <c r="A170" s="325" t="str">
        <f t="shared" si="17"/>
        <v>NL</v>
      </c>
      <c r="B170" s="569">
        <f t="shared" si="18"/>
        <v>153</v>
      </c>
      <c r="C170" s="330" t="s">
        <v>557</v>
      </c>
      <c r="D170" s="328" t="s">
        <v>486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175</v>
      </c>
      <c r="L170" s="8">
        <f t="shared" si="16"/>
        <v>3068275</v>
      </c>
      <c r="M170" s="329"/>
    </row>
    <row r="171" spans="1:13" ht="18" customHeight="1">
      <c r="A171" s="325" t="str">
        <f t="shared" si="17"/>
        <v>NL</v>
      </c>
      <c r="B171" s="569">
        <f t="shared" si="18"/>
        <v>154</v>
      </c>
      <c r="C171" s="40" t="s">
        <v>899</v>
      </c>
      <c r="D171" s="328" t="s">
        <v>486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103</v>
      </c>
      <c r="L171" s="8">
        <f t="shared" si="16"/>
        <v>2443675</v>
      </c>
      <c r="M171" s="329"/>
    </row>
    <row r="172" spans="1:13" ht="18" customHeight="1">
      <c r="A172" s="325" t="str">
        <f t="shared" si="17"/>
        <v>NL</v>
      </c>
      <c r="B172" s="569">
        <f t="shared" si="18"/>
        <v>155</v>
      </c>
      <c r="C172" s="40" t="s">
        <v>836</v>
      </c>
      <c r="D172" s="328" t="s">
        <v>486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500</v>
      </c>
      <c r="L172" s="8">
        <f t="shared" si="16"/>
        <v>7363000</v>
      </c>
      <c r="M172" s="329"/>
    </row>
    <row r="173" spans="1:13" ht="18" customHeight="1">
      <c r="A173" s="325" t="str">
        <f t="shared" si="17"/>
        <v>NL</v>
      </c>
      <c r="B173" s="569">
        <f t="shared" si="18"/>
        <v>156</v>
      </c>
      <c r="C173" s="40" t="s">
        <v>940</v>
      </c>
      <c r="D173" s="328" t="s">
        <v>486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500</v>
      </c>
      <c r="L173" s="8">
        <f t="shared" si="16"/>
        <v>10289500</v>
      </c>
      <c r="M173" s="329"/>
    </row>
    <row r="174" spans="1:13" ht="18" customHeight="1">
      <c r="A174" s="325" t="str">
        <f t="shared" si="17"/>
        <v>NL</v>
      </c>
      <c r="B174" s="569">
        <f t="shared" si="18"/>
        <v>157</v>
      </c>
      <c r="C174" s="203" t="s">
        <v>562</v>
      </c>
      <c r="D174" s="328" t="s">
        <v>486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100</v>
      </c>
      <c r="L174" s="8">
        <f t="shared" si="16"/>
        <v>2420600</v>
      </c>
      <c r="M174" s="329"/>
    </row>
    <row r="175" spans="1:13" ht="18" customHeight="1">
      <c r="A175" s="325" t="str">
        <f t="shared" si="17"/>
        <v>NL</v>
      </c>
      <c r="B175" s="569">
        <f t="shared" si="18"/>
        <v>158</v>
      </c>
      <c r="C175" s="40" t="s">
        <v>775</v>
      </c>
      <c r="D175" s="328" t="s">
        <v>486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100</v>
      </c>
      <c r="L175" s="8">
        <f t="shared" si="16"/>
        <v>2236100</v>
      </c>
      <c r="M175" s="329"/>
    </row>
    <row r="176" spans="1:13" ht="18" customHeight="1">
      <c r="A176" s="325" t="str">
        <f t="shared" si="17"/>
        <v>NL</v>
      </c>
      <c r="B176" s="569">
        <f t="shared" si="18"/>
        <v>159</v>
      </c>
      <c r="C176" s="40" t="s">
        <v>932</v>
      </c>
      <c r="D176" s="328" t="s">
        <v>486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100</v>
      </c>
      <c r="L176" s="8">
        <f t="shared" si="16"/>
        <v>1844300</v>
      </c>
      <c r="M176" s="329"/>
    </row>
    <row r="177" spans="1:13" ht="18" customHeight="1">
      <c r="A177" s="325" t="str">
        <f t="shared" si="17"/>
        <v>NL</v>
      </c>
      <c r="B177" s="569">
        <f t="shared" si="18"/>
        <v>160</v>
      </c>
      <c r="C177" s="40" t="s">
        <v>738</v>
      </c>
      <c r="D177" s="328" t="s">
        <v>486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66</v>
      </c>
      <c r="L177" s="8">
        <f t="shared" si="16"/>
        <v>1381578</v>
      </c>
      <c r="M177" s="329"/>
    </row>
    <row r="178" spans="1:13" ht="18" customHeight="1">
      <c r="A178" s="325" t="str">
        <f t="shared" si="17"/>
        <v>NL</v>
      </c>
      <c r="B178" s="569">
        <f t="shared" si="18"/>
        <v>161</v>
      </c>
      <c r="C178" s="40" t="s">
        <v>926</v>
      </c>
      <c r="D178" s="328" t="s">
        <v>486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60</v>
      </c>
      <c r="L178" s="8">
        <f t="shared" si="16"/>
        <v>1508940</v>
      </c>
      <c r="M178" s="329"/>
    </row>
    <row r="179" spans="1:13" ht="18" customHeight="1">
      <c r="A179" s="325" t="str">
        <f t="shared" si="17"/>
        <v>NL</v>
      </c>
      <c r="B179" s="569">
        <f t="shared" si="18"/>
        <v>162</v>
      </c>
      <c r="C179" s="203" t="s">
        <v>582</v>
      </c>
      <c r="D179" s="328" t="s">
        <v>486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200</v>
      </c>
      <c r="L179" s="8">
        <f t="shared" si="16"/>
        <v>5160400</v>
      </c>
      <c r="M179" s="329"/>
    </row>
    <row r="180" spans="1:13" ht="18" customHeight="1">
      <c r="A180" s="325" t="str">
        <f t="shared" si="17"/>
        <v>NL</v>
      </c>
      <c r="B180" s="569">
        <f t="shared" si="18"/>
        <v>163</v>
      </c>
      <c r="C180" s="40" t="s">
        <v>725</v>
      </c>
      <c r="D180" s="328" t="s">
        <v>486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500</v>
      </c>
      <c r="L180" s="8">
        <f t="shared" si="16"/>
        <v>9756500</v>
      </c>
      <c r="M180" s="329"/>
    </row>
    <row r="181" spans="1:13" ht="18" customHeight="1">
      <c r="A181" s="325" t="str">
        <f t="shared" si="17"/>
        <v>NL</v>
      </c>
      <c r="B181" s="569">
        <f t="shared" si="18"/>
        <v>164</v>
      </c>
      <c r="C181" s="40" t="s">
        <v>834</v>
      </c>
      <c r="D181" s="328" t="s">
        <v>486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225</v>
      </c>
      <c r="L181" s="8">
        <f t="shared" si="16"/>
        <v>6577200</v>
      </c>
      <c r="M181" s="329"/>
    </row>
    <row r="182" spans="1:13" ht="18" customHeight="1">
      <c r="A182" s="325" t="str">
        <f t="shared" si="17"/>
        <v>NL</v>
      </c>
      <c r="B182" s="569">
        <f t="shared" si="18"/>
        <v>165</v>
      </c>
      <c r="C182" s="40" t="s">
        <v>1049</v>
      </c>
      <c r="D182" s="328" t="s">
        <v>486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750</v>
      </c>
      <c r="L182" s="8">
        <f t="shared" si="16"/>
        <v>16740750</v>
      </c>
      <c r="M182" s="329"/>
    </row>
    <row r="183" spans="1:13" ht="18" customHeight="1">
      <c r="A183" s="325" t="str">
        <f t="shared" si="17"/>
        <v>NL</v>
      </c>
      <c r="B183" s="569">
        <f t="shared" si="18"/>
        <v>166</v>
      </c>
      <c r="C183" s="40" t="s">
        <v>1033</v>
      </c>
      <c r="D183" s="328" t="s">
        <v>486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200</v>
      </c>
      <c r="L183" s="8">
        <f t="shared" si="16"/>
        <v>3662800</v>
      </c>
      <c r="M183" s="329"/>
    </row>
    <row r="184" spans="1:13" ht="18" customHeight="1">
      <c r="A184" s="325" t="str">
        <f t="shared" si="17"/>
        <v>NL</v>
      </c>
      <c r="B184" s="569">
        <f t="shared" si="18"/>
        <v>167</v>
      </c>
      <c r="C184" s="40" t="s">
        <v>945</v>
      </c>
      <c r="D184" s="328" t="s">
        <v>486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150</v>
      </c>
      <c r="L184" s="8">
        <f t="shared" si="16"/>
        <v>3806400</v>
      </c>
      <c r="M184" s="329"/>
    </row>
    <row r="185" spans="1:13" ht="18" customHeight="1">
      <c r="A185" s="325" t="str">
        <f t="shared" si="17"/>
        <v>NL</v>
      </c>
      <c r="B185" s="569">
        <f t="shared" si="18"/>
        <v>168</v>
      </c>
      <c r="C185" s="40" t="s">
        <v>1027</v>
      </c>
      <c r="D185" s="328" t="s">
        <v>486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100</v>
      </c>
      <c r="L185" s="8">
        <f t="shared" si="16"/>
        <v>2260100</v>
      </c>
      <c r="M185" s="329"/>
    </row>
    <row r="186" spans="1:13" ht="18" customHeight="1">
      <c r="A186" s="325" t="str">
        <f t="shared" si="17"/>
        <v>NL</v>
      </c>
      <c r="B186" s="569">
        <f t="shared" si="18"/>
        <v>169</v>
      </c>
      <c r="C186" s="203" t="s">
        <v>627</v>
      </c>
      <c r="D186" s="328" t="s">
        <v>486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280</v>
      </c>
      <c r="L186" s="8">
        <f t="shared" si="16"/>
        <v>5275200</v>
      </c>
      <c r="M186" s="329"/>
    </row>
    <row r="187" spans="1:13" ht="18" customHeight="1">
      <c r="A187" s="325" t="str">
        <f t="shared" si="17"/>
        <v>NL</v>
      </c>
      <c r="B187" s="569">
        <f t="shared" si="18"/>
        <v>170</v>
      </c>
      <c r="C187" s="40" t="s">
        <v>746</v>
      </c>
      <c r="D187" s="328" t="s">
        <v>486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240</v>
      </c>
      <c r="L187" s="8">
        <f t="shared" si="16"/>
        <v>4097280</v>
      </c>
      <c r="M187" s="329"/>
    </row>
    <row r="188" spans="1:13" ht="18" customHeight="1">
      <c r="A188" s="325" t="str">
        <f t="shared" si="17"/>
        <v>NL</v>
      </c>
      <c r="B188" s="569">
        <f t="shared" si="18"/>
        <v>171</v>
      </c>
      <c r="C188" s="40" t="s">
        <v>739</v>
      </c>
      <c r="D188" s="328" t="s">
        <v>486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66</v>
      </c>
      <c r="L188" s="8">
        <f t="shared" si="16"/>
        <v>1183116</v>
      </c>
      <c r="M188" s="329"/>
    </row>
    <row r="189" spans="1:13" ht="18" customHeight="1">
      <c r="A189" s="325" t="str">
        <f t="shared" si="17"/>
        <v>NL</v>
      </c>
      <c r="B189" s="569">
        <f t="shared" si="18"/>
        <v>172</v>
      </c>
      <c r="C189" s="40" t="s">
        <v>902</v>
      </c>
      <c r="D189" s="328" t="s">
        <v>486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120</v>
      </c>
      <c r="L189" s="8">
        <f t="shared" si="16"/>
        <v>3199680</v>
      </c>
      <c r="M189" s="329"/>
    </row>
    <row r="190" spans="1:13" ht="18" customHeight="1">
      <c r="A190" s="325" t="str">
        <f t="shared" si="17"/>
        <v>NL</v>
      </c>
      <c r="B190" s="569">
        <f t="shared" si="18"/>
        <v>173</v>
      </c>
      <c r="C190" s="40" t="s">
        <v>954</v>
      </c>
      <c r="D190" s="328" t="s">
        <v>486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170</v>
      </c>
      <c r="L190" s="8">
        <f t="shared" si="16"/>
        <v>2417570</v>
      </c>
      <c r="M190" s="329"/>
    </row>
    <row r="191" spans="1:13" ht="18" customHeight="1">
      <c r="A191" s="325" t="str">
        <f t="shared" si="17"/>
        <v>NL</v>
      </c>
      <c r="B191" s="569">
        <f t="shared" si="18"/>
        <v>174</v>
      </c>
      <c r="C191" s="40" t="s">
        <v>1020</v>
      </c>
      <c r="D191" s="328" t="s">
        <v>486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1000</v>
      </c>
      <c r="L191" s="8">
        <f t="shared" si="16"/>
        <v>21023000</v>
      </c>
      <c r="M191" s="329"/>
    </row>
    <row r="192" spans="1:13" ht="18" customHeight="1">
      <c r="A192" s="325" t="str">
        <f t="shared" si="17"/>
        <v>NL</v>
      </c>
      <c r="B192" s="569">
        <f t="shared" si="18"/>
        <v>175</v>
      </c>
      <c r="C192" s="40" t="s">
        <v>1000</v>
      </c>
      <c r="D192" s="328" t="s">
        <v>486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1510</v>
      </c>
      <c r="L192" s="8">
        <f t="shared" si="16"/>
        <v>49943610</v>
      </c>
      <c r="M192" s="329"/>
    </row>
    <row r="193" spans="1:13" ht="18" customHeight="1">
      <c r="A193" s="325" t="str">
        <f t="shared" si="17"/>
        <v>NL</v>
      </c>
      <c r="B193" s="569">
        <f t="shared" si="18"/>
        <v>176</v>
      </c>
      <c r="C193" s="203" t="s">
        <v>484</v>
      </c>
      <c r="D193" s="328" t="s">
        <v>486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680</v>
      </c>
      <c r="L193" s="8">
        <f t="shared" si="16"/>
        <v>20507440</v>
      </c>
      <c r="M193" s="329"/>
    </row>
    <row r="194" spans="1:13" ht="18" customHeight="1">
      <c r="A194" s="325" t="str">
        <f t="shared" si="17"/>
        <v>NL</v>
      </c>
      <c r="B194" s="569">
        <f t="shared" si="18"/>
        <v>177</v>
      </c>
      <c r="C194" s="40" t="s">
        <v>756</v>
      </c>
      <c r="D194" s="328" t="s">
        <v>486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100</v>
      </c>
      <c r="L194" s="8">
        <f t="shared" si="16"/>
        <v>1597600</v>
      </c>
      <c r="M194" s="329"/>
    </row>
    <row r="195" spans="1:13" ht="18" customHeight="1">
      <c r="A195" s="325" t="str">
        <f t="shared" si="17"/>
        <v>NL</v>
      </c>
      <c r="B195" s="569">
        <f t="shared" si="18"/>
        <v>178</v>
      </c>
      <c r="C195" s="40" t="s">
        <v>907</v>
      </c>
      <c r="D195" s="328" t="s">
        <v>486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40</v>
      </c>
      <c r="L195" s="8">
        <f t="shared" si="16"/>
        <v>1128280</v>
      </c>
      <c r="M195" s="329"/>
    </row>
    <row r="196" spans="1:13" ht="18" customHeight="1">
      <c r="A196" s="325" t="str">
        <f t="shared" si="17"/>
        <v>NL</v>
      </c>
      <c r="B196" s="569">
        <f t="shared" si="18"/>
        <v>179</v>
      </c>
      <c r="C196" s="40" t="s">
        <v>901</v>
      </c>
      <c r="D196" s="328" t="s">
        <v>486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100</v>
      </c>
      <c r="L196" s="8">
        <f t="shared" si="16"/>
        <v>2973400</v>
      </c>
      <c r="M196" s="329"/>
    </row>
    <row r="197" spans="1:13" ht="18" customHeight="1">
      <c r="A197" s="325" t="str">
        <f t="shared" si="17"/>
        <v>NL</v>
      </c>
      <c r="B197" s="569">
        <f t="shared" si="18"/>
        <v>180</v>
      </c>
      <c r="C197" s="203" t="s">
        <v>623</v>
      </c>
      <c r="D197" s="328" t="s">
        <v>486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100</v>
      </c>
      <c r="L197" s="8">
        <f t="shared" si="16"/>
        <v>2763000</v>
      </c>
      <c r="M197" s="329"/>
    </row>
    <row r="198" spans="1:13" ht="18" customHeight="1">
      <c r="A198" s="325" t="str">
        <f t="shared" si="17"/>
        <v>NL</v>
      </c>
      <c r="B198" s="569">
        <f t="shared" si="18"/>
        <v>181</v>
      </c>
      <c r="C198" s="40" t="s">
        <v>765</v>
      </c>
      <c r="D198" s="328" t="s">
        <v>486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66</v>
      </c>
      <c r="L198" s="8">
        <f t="shared" si="16"/>
        <v>1309836</v>
      </c>
      <c r="M198" s="329"/>
    </row>
    <row r="199" spans="1:13" ht="18" customHeight="1">
      <c r="A199" s="325" t="str">
        <f t="shared" si="17"/>
        <v>NL</v>
      </c>
      <c r="B199" s="569">
        <f t="shared" si="18"/>
        <v>182</v>
      </c>
      <c r="C199" s="40" t="s">
        <v>785</v>
      </c>
      <c r="D199" s="328" t="s">
        <v>486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300</v>
      </c>
      <c r="L199" s="8">
        <f t="shared" si="16"/>
        <v>8370000</v>
      </c>
      <c r="M199" s="329"/>
    </row>
    <row r="200" spans="1:13" ht="18" customHeight="1">
      <c r="A200" s="325" t="str">
        <f t="shared" si="17"/>
        <v>NL</v>
      </c>
      <c r="B200" s="569">
        <f t="shared" si="18"/>
        <v>183</v>
      </c>
      <c r="C200" s="40" t="s">
        <v>734</v>
      </c>
      <c r="D200" s="328" t="s">
        <v>486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100</v>
      </c>
      <c r="L200" s="8">
        <f t="shared" si="16"/>
        <v>2280900</v>
      </c>
      <c r="M200" s="329"/>
    </row>
    <row r="201" spans="1:13" ht="18" customHeight="1">
      <c r="A201" s="325" t="str">
        <f t="shared" si="17"/>
        <v>NL</v>
      </c>
      <c r="B201" s="569">
        <f t="shared" si="18"/>
        <v>184</v>
      </c>
      <c r="C201" s="40" t="s">
        <v>920</v>
      </c>
      <c r="D201" s="328" t="s">
        <v>486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100</v>
      </c>
      <c r="L201" s="8">
        <f t="shared" si="16"/>
        <v>1614000</v>
      </c>
      <c r="M201" s="329"/>
    </row>
    <row r="202" spans="1:13" ht="18" customHeight="1">
      <c r="A202" s="325" t="str">
        <f t="shared" si="17"/>
        <v>NL</v>
      </c>
      <c r="B202" s="569">
        <f t="shared" si="18"/>
        <v>185</v>
      </c>
      <c r="C202" s="40" t="s">
        <v>928</v>
      </c>
      <c r="D202" s="328" t="s">
        <v>486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1020</v>
      </c>
      <c r="L202" s="8">
        <f t="shared" si="16"/>
        <v>23488560</v>
      </c>
      <c r="M202" s="329"/>
    </row>
    <row r="203" spans="1:13" ht="18" customHeight="1">
      <c r="A203" s="325" t="str">
        <f t="shared" si="17"/>
        <v>NL</v>
      </c>
      <c r="B203" s="569">
        <f t="shared" si="18"/>
        <v>186</v>
      </c>
      <c r="C203" s="40" t="s">
        <v>780</v>
      </c>
      <c r="D203" s="328" t="s">
        <v>486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4530</v>
      </c>
      <c r="L203" s="8">
        <f t="shared" si="16"/>
        <v>104864970</v>
      </c>
      <c r="M203" s="329"/>
    </row>
    <row r="204" spans="1:13" ht="18" customHeight="1">
      <c r="A204" s="325" t="str">
        <f t="shared" si="17"/>
        <v>NL</v>
      </c>
      <c r="B204" s="569">
        <f t="shared" si="18"/>
        <v>187</v>
      </c>
      <c r="C204" s="40" t="s">
        <v>813</v>
      </c>
      <c r="D204" s="328" t="s">
        <v>486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200</v>
      </c>
      <c r="L204" s="8">
        <f t="shared" si="16"/>
        <v>4620400</v>
      </c>
      <c r="M204" s="329"/>
    </row>
    <row r="205" spans="1:13" ht="18" customHeight="1">
      <c r="A205" s="325" t="str">
        <f t="shared" si="17"/>
        <v>NL</v>
      </c>
      <c r="B205" s="569">
        <f t="shared" si="18"/>
        <v>188</v>
      </c>
      <c r="C205" s="40" t="s">
        <v>740</v>
      </c>
      <c r="D205" s="328" t="s">
        <v>486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112</v>
      </c>
      <c r="L205" s="8">
        <f t="shared" si="16"/>
        <v>2107616</v>
      </c>
      <c r="M205" s="329"/>
    </row>
    <row r="206" spans="1:13" ht="18" customHeight="1">
      <c r="A206" s="325" t="str">
        <f t="shared" si="17"/>
        <v>NL</v>
      </c>
      <c r="B206" s="569">
        <f t="shared" si="18"/>
        <v>189</v>
      </c>
      <c r="C206" s="40" t="s">
        <v>748</v>
      </c>
      <c r="D206" s="328" t="s">
        <v>486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104</v>
      </c>
      <c r="L206" s="8">
        <f t="shared" si="16"/>
        <v>2054936</v>
      </c>
      <c r="M206" s="329"/>
    </row>
    <row r="207" spans="1:13" ht="18" customHeight="1">
      <c r="A207" s="325" t="str">
        <f t="shared" si="17"/>
        <v>NL</v>
      </c>
      <c r="B207" s="569">
        <f t="shared" si="18"/>
        <v>190</v>
      </c>
      <c r="C207" s="40" t="s">
        <v>822</v>
      </c>
      <c r="D207" s="328" t="s">
        <v>486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425</v>
      </c>
      <c r="L207" s="8">
        <f t="shared" si="16"/>
        <v>12367500</v>
      </c>
      <c r="M207" s="329"/>
    </row>
    <row r="208" spans="1:13" ht="18" customHeight="1">
      <c r="A208" s="325" t="str">
        <f t="shared" si="17"/>
        <v>NL</v>
      </c>
      <c r="B208" s="569">
        <f t="shared" si="18"/>
        <v>191</v>
      </c>
      <c r="C208" s="40" t="s">
        <v>1017</v>
      </c>
      <c r="D208" s="328" t="s">
        <v>486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300</v>
      </c>
      <c r="L208" s="8">
        <f t="shared" si="16"/>
        <v>6297600</v>
      </c>
      <c r="M208" s="329"/>
    </row>
    <row r="209" spans="1:13" ht="18" customHeight="1">
      <c r="A209" s="325" t="str">
        <f t="shared" si="17"/>
        <v>NL</v>
      </c>
      <c r="B209" s="569">
        <f t="shared" si="18"/>
        <v>192</v>
      </c>
      <c r="C209" s="330" t="s">
        <v>570</v>
      </c>
      <c r="D209" s="328" t="s">
        <v>486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100</v>
      </c>
      <c r="L209" s="8">
        <f t="shared" si="16"/>
        <v>3145100</v>
      </c>
      <c r="M209" s="329"/>
    </row>
    <row r="210" spans="1:13" ht="18" customHeight="1">
      <c r="A210" s="325" t="str">
        <f t="shared" si="17"/>
        <v>NL</v>
      </c>
      <c r="B210" s="569">
        <f t="shared" si="18"/>
        <v>193</v>
      </c>
      <c r="C210" s="40" t="s">
        <v>903</v>
      </c>
      <c r="D210" s="328" t="s">
        <v>486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170</v>
      </c>
      <c r="L210" s="8">
        <f t="shared" ref="L210:L273" si="20">F210+H210-J210</f>
        <v>5269490</v>
      </c>
      <c r="M210" s="329"/>
    </row>
    <row r="211" spans="1:13" ht="18" customHeight="1">
      <c r="A211" s="325" t="str">
        <f t="shared" ref="A211:A274" si="21">IF(B211&lt;&gt;"","NL","")</f>
        <v>NL</v>
      </c>
      <c r="B211" s="569">
        <f t="shared" ref="B211:B274" si="22">IF(C211&lt;&gt;"",B210+1,"")</f>
        <v>194</v>
      </c>
      <c r="C211" s="40" t="s">
        <v>917</v>
      </c>
      <c r="D211" s="328" t="s">
        <v>486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282</v>
      </c>
      <c r="L211" s="8">
        <f t="shared" si="20"/>
        <v>5981220</v>
      </c>
      <c r="M211" s="329"/>
    </row>
    <row r="212" spans="1:13" ht="18" customHeight="1">
      <c r="A212" s="325" t="str">
        <f t="shared" si="21"/>
        <v>NL</v>
      </c>
      <c r="B212" s="569">
        <f t="shared" si="22"/>
        <v>195</v>
      </c>
      <c r="C212" s="40" t="s">
        <v>735</v>
      </c>
      <c r="D212" s="328" t="s">
        <v>486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100</v>
      </c>
      <c r="L212" s="8">
        <f t="shared" si="20"/>
        <v>2321000</v>
      </c>
      <c r="M212" s="329"/>
    </row>
    <row r="213" spans="1:13" ht="18" customHeight="1">
      <c r="A213" s="325" t="str">
        <f t="shared" si="21"/>
        <v>NL</v>
      </c>
      <c r="B213" s="569">
        <f t="shared" si="22"/>
        <v>196</v>
      </c>
      <c r="C213" s="330" t="s">
        <v>571</v>
      </c>
      <c r="D213" s="328" t="s">
        <v>486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493</v>
      </c>
      <c r="L213" s="8">
        <f t="shared" si="20"/>
        <v>15462452</v>
      </c>
      <c r="M213" s="329"/>
    </row>
    <row r="214" spans="1:13" ht="18" customHeight="1">
      <c r="A214" s="325" t="str">
        <f t="shared" si="21"/>
        <v>NL</v>
      </c>
      <c r="B214" s="569">
        <f t="shared" si="22"/>
        <v>197</v>
      </c>
      <c r="C214" s="40" t="s">
        <v>1018</v>
      </c>
      <c r="D214" s="328" t="s">
        <v>486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100</v>
      </c>
      <c r="L214" s="8">
        <f t="shared" si="20"/>
        <v>2184800</v>
      </c>
      <c r="M214" s="329"/>
    </row>
    <row r="215" spans="1:13" ht="18" customHeight="1">
      <c r="A215" s="325" t="str">
        <f t="shared" si="21"/>
        <v>NL</v>
      </c>
      <c r="B215" s="569">
        <f t="shared" si="22"/>
        <v>198</v>
      </c>
      <c r="C215" s="40" t="s">
        <v>1019</v>
      </c>
      <c r="D215" s="328" t="s">
        <v>486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140</v>
      </c>
      <c r="L215" s="8">
        <f t="shared" si="20"/>
        <v>2767520</v>
      </c>
      <c r="M215" s="329"/>
    </row>
    <row r="216" spans="1:13" ht="18" customHeight="1">
      <c r="A216" s="325" t="str">
        <f t="shared" si="21"/>
        <v>NL</v>
      </c>
      <c r="B216" s="569">
        <f t="shared" si="22"/>
        <v>199</v>
      </c>
      <c r="C216" s="40" t="s">
        <v>714</v>
      </c>
      <c r="D216" s="328" t="s">
        <v>486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76</v>
      </c>
      <c r="L216" s="8">
        <f t="shared" si="20"/>
        <v>2203012</v>
      </c>
      <c r="M216" s="329"/>
    </row>
    <row r="217" spans="1:13" ht="18" customHeight="1">
      <c r="A217" s="325" t="str">
        <f t="shared" si="21"/>
        <v>NL</v>
      </c>
      <c r="B217" s="569">
        <f t="shared" si="22"/>
        <v>200</v>
      </c>
      <c r="C217" s="203" t="s">
        <v>622</v>
      </c>
      <c r="D217" s="328" t="s">
        <v>486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260</v>
      </c>
      <c r="L217" s="8">
        <f t="shared" si="20"/>
        <v>8509280</v>
      </c>
      <c r="M217" s="329"/>
    </row>
    <row r="218" spans="1:13" ht="18" customHeight="1">
      <c r="A218" s="325" t="str">
        <f t="shared" si="21"/>
        <v>NL</v>
      </c>
      <c r="B218" s="569">
        <f t="shared" si="22"/>
        <v>201</v>
      </c>
      <c r="C218" s="203" t="s">
        <v>563</v>
      </c>
      <c r="D218" s="328" t="s">
        <v>486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140</v>
      </c>
      <c r="L218" s="8">
        <f t="shared" si="20"/>
        <v>2808260</v>
      </c>
      <c r="M218" s="329"/>
    </row>
    <row r="219" spans="1:13" ht="18" customHeight="1">
      <c r="A219" s="325" t="str">
        <f t="shared" si="21"/>
        <v>NL</v>
      </c>
      <c r="B219" s="569">
        <f t="shared" si="22"/>
        <v>202</v>
      </c>
      <c r="C219" s="40" t="s">
        <v>789</v>
      </c>
      <c r="D219" s="328" t="s">
        <v>486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250</v>
      </c>
      <c r="L219" s="8">
        <f t="shared" si="20"/>
        <v>5721750</v>
      </c>
      <c r="M219" s="329"/>
    </row>
    <row r="220" spans="1:13" ht="18" customHeight="1">
      <c r="A220" s="325" t="str">
        <f t="shared" si="21"/>
        <v>NL</v>
      </c>
      <c r="B220" s="569">
        <f t="shared" si="22"/>
        <v>203</v>
      </c>
      <c r="C220" s="40" t="s">
        <v>989</v>
      </c>
      <c r="D220" s="328" t="s">
        <v>486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100</v>
      </c>
      <c r="L220" s="8">
        <f t="shared" si="20"/>
        <v>1698500</v>
      </c>
      <c r="M220" s="329"/>
    </row>
    <row r="221" spans="1:13" ht="18" customHeight="1">
      <c r="A221" s="325" t="str">
        <f t="shared" si="21"/>
        <v>NL</v>
      </c>
      <c r="B221" s="569">
        <f t="shared" si="22"/>
        <v>204</v>
      </c>
      <c r="C221" s="40" t="s">
        <v>736</v>
      </c>
      <c r="D221" s="328" t="s">
        <v>486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200</v>
      </c>
      <c r="L221" s="8">
        <f t="shared" si="20"/>
        <v>3413400</v>
      </c>
      <c r="M221" s="329"/>
    </row>
    <row r="222" spans="1:13" ht="18" customHeight="1">
      <c r="A222" s="325" t="str">
        <f t="shared" si="21"/>
        <v>NL</v>
      </c>
      <c r="B222" s="569">
        <f t="shared" si="22"/>
        <v>205</v>
      </c>
      <c r="C222" s="203" t="s">
        <v>572</v>
      </c>
      <c r="D222" s="328" t="s">
        <v>486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300</v>
      </c>
      <c r="L222" s="8">
        <f t="shared" si="20"/>
        <v>6076500</v>
      </c>
      <c r="M222" s="329"/>
    </row>
    <row r="223" spans="1:13" ht="18" customHeight="1">
      <c r="A223" s="325" t="str">
        <f t="shared" si="21"/>
        <v>NL</v>
      </c>
      <c r="B223" s="569">
        <f t="shared" si="22"/>
        <v>206</v>
      </c>
      <c r="C223" s="40" t="s">
        <v>749</v>
      </c>
      <c r="D223" s="328" t="s">
        <v>486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324</v>
      </c>
      <c r="L223" s="8">
        <f t="shared" si="20"/>
        <v>7806780</v>
      </c>
      <c r="M223" s="329"/>
    </row>
    <row r="224" spans="1:13" ht="18" customHeight="1">
      <c r="A224" s="325" t="str">
        <f t="shared" si="21"/>
        <v>NL</v>
      </c>
      <c r="B224" s="569">
        <f t="shared" si="22"/>
        <v>207</v>
      </c>
      <c r="C224" s="40" t="s">
        <v>1016</v>
      </c>
      <c r="D224" s="328" t="s">
        <v>486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100</v>
      </c>
      <c r="L224" s="8">
        <f t="shared" si="20"/>
        <v>2345500</v>
      </c>
      <c r="M224" s="329"/>
    </row>
    <row r="225" spans="1:13" ht="18" customHeight="1">
      <c r="A225" s="325" t="str">
        <f t="shared" si="21"/>
        <v>NL</v>
      </c>
      <c r="B225" s="569">
        <f t="shared" si="22"/>
        <v>208</v>
      </c>
      <c r="C225" s="40" t="s">
        <v>778</v>
      </c>
      <c r="D225" s="328" t="s">
        <v>486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200</v>
      </c>
      <c r="L225" s="8">
        <f t="shared" si="20"/>
        <v>4708600</v>
      </c>
      <c r="M225" s="329"/>
    </row>
    <row r="226" spans="1:13" ht="18" customHeight="1">
      <c r="A226" s="325" t="str">
        <f t="shared" si="21"/>
        <v>NL</v>
      </c>
      <c r="B226" s="569">
        <f t="shared" si="22"/>
        <v>209</v>
      </c>
      <c r="C226" s="40" t="s">
        <v>1073</v>
      </c>
      <c r="D226" s="328" t="s">
        <v>486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50</v>
      </c>
      <c r="L226" s="8">
        <f t="shared" si="20"/>
        <v>1999750</v>
      </c>
      <c r="M226" s="329"/>
    </row>
    <row r="227" spans="1:13" ht="18" customHeight="1">
      <c r="A227" s="325" t="str">
        <f t="shared" si="21"/>
        <v>NL</v>
      </c>
      <c r="B227" s="569">
        <f t="shared" si="22"/>
        <v>210</v>
      </c>
      <c r="C227" s="203" t="s">
        <v>560</v>
      </c>
      <c r="D227" s="328" t="s">
        <v>486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100</v>
      </c>
      <c r="L227" s="8">
        <f t="shared" si="20"/>
        <v>2561600</v>
      </c>
      <c r="M227" s="329"/>
    </row>
    <row r="228" spans="1:13" ht="18" customHeight="1">
      <c r="A228" s="325" t="str">
        <f t="shared" si="21"/>
        <v>NL</v>
      </c>
      <c r="B228" s="569">
        <f t="shared" si="22"/>
        <v>211</v>
      </c>
      <c r="C228" s="203" t="s">
        <v>485</v>
      </c>
      <c r="D228" s="328" t="s">
        <v>486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500</v>
      </c>
      <c r="L228" s="8">
        <f t="shared" si="20"/>
        <v>16439000</v>
      </c>
      <c r="M228" s="329"/>
    </row>
    <row r="229" spans="1:13" ht="18" customHeight="1">
      <c r="A229" s="325" t="str">
        <f t="shared" si="21"/>
        <v>NL</v>
      </c>
      <c r="B229" s="569">
        <f t="shared" si="22"/>
        <v>212</v>
      </c>
      <c r="C229" s="40" t="s">
        <v>904</v>
      </c>
      <c r="D229" s="328" t="s">
        <v>486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50</v>
      </c>
      <c r="L229" s="8">
        <f t="shared" si="20"/>
        <v>1905300</v>
      </c>
      <c r="M229" s="329"/>
    </row>
    <row r="230" spans="1:13" ht="18" customHeight="1">
      <c r="A230" s="325" t="str">
        <f t="shared" si="21"/>
        <v>NL</v>
      </c>
      <c r="B230" s="569">
        <f t="shared" si="22"/>
        <v>213</v>
      </c>
      <c r="C230" s="40" t="s">
        <v>766</v>
      </c>
      <c r="D230" s="328" t="s">
        <v>486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240</v>
      </c>
      <c r="L230" s="8">
        <f t="shared" si="20"/>
        <v>5061360</v>
      </c>
      <c r="M230" s="329"/>
    </row>
    <row r="231" spans="1:13" ht="18" customHeight="1">
      <c r="A231" s="325" t="str">
        <f t="shared" si="21"/>
        <v>NL</v>
      </c>
      <c r="B231" s="569">
        <f t="shared" si="22"/>
        <v>214</v>
      </c>
      <c r="C231" s="40" t="s">
        <v>983</v>
      </c>
      <c r="D231" s="328" t="s">
        <v>486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100</v>
      </c>
      <c r="L231" s="8">
        <f t="shared" si="20"/>
        <v>2492200</v>
      </c>
      <c r="M231" s="329"/>
    </row>
    <row r="232" spans="1:13" ht="18" customHeight="1">
      <c r="A232" s="325" t="str">
        <f t="shared" si="21"/>
        <v>NL</v>
      </c>
      <c r="B232" s="569">
        <f t="shared" si="22"/>
        <v>215</v>
      </c>
      <c r="C232" s="40" t="s">
        <v>810</v>
      </c>
      <c r="D232" s="328" t="s">
        <v>486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100</v>
      </c>
      <c r="L232" s="8">
        <f t="shared" si="20"/>
        <v>2524000</v>
      </c>
      <c r="M232" s="329"/>
    </row>
    <row r="233" spans="1:13" ht="18" customHeight="1">
      <c r="A233" s="325" t="str">
        <f t="shared" si="21"/>
        <v>NL</v>
      </c>
      <c r="B233" s="569">
        <f t="shared" si="22"/>
        <v>216</v>
      </c>
      <c r="C233" s="40" t="s">
        <v>958</v>
      </c>
      <c r="D233" s="328" t="s">
        <v>486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150</v>
      </c>
      <c r="L233" s="8">
        <f t="shared" si="20"/>
        <v>3116400</v>
      </c>
      <c r="M233" s="329"/>
    </row>
    <row r="234" spans="1:13" ht="18" customHeight="1">
      <c r="A234" s="325" t="str">
        <f t="shared" si="21"/>
        <v>NL</v>
      </c>
      <c r="B234" s="569">
        <f t="shared" si="22"/>
        <v>217</v>
      </c>
      <c r="C234" s="40" t="s">
        <v>781</v>
      </c>
      <c r="D234" s="328" t="s">
        <v>486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100</v>
      </c>
      <c r="L234" s="8">
        <f t="shared" si="20"/>
        <v>4099600</v>
      </c>
      <c r="M234" s="329"/>
    </row>
    <row r="235" spans="1:13" ht="18" customHeight="1">
      <c r="A235" s="325" t="str">
        <f t="shared" si="21"/>
        <v>NL</v>
      </c>
      <c r="B235" s="569">
        <f t="shared" si="22"/>
        <v>218</v>
      </c>
      <c r="C235" s="40" t="s">
        <v>852</v>
      </c>
      <c r="D235" s="328" t="s">
        <v>486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610</v>
      </c>
      <c r="L235" s="8">
        <f t="shared" si="20"/>
        <v>12882590</v>
      </c>
      <c r="M235" s="329"/>
    </row>
    <row r="236" spans="1:13" ht="18" customHeight="1">
      <c r="A236" s="325" t="str">
        <f t="shared" si="21"/>
        <v>NL</v>
      </c>
      <c r="B236" s="569">
        <f t="shared" si="22"/>
        <v>219</v>
      </c>
      <c r="C236" s="40" t="s">
        <v>838</v>
      </c>
      <c r="D236" s="328" t="s">
        <v>486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215</v>
      </c>
      <c r="L236" s="8">
        <f t="shared" si="20"/>
        <v>4807615</v>
      </c>
      <c r="M236" s="329"/>
    </row>
    <row r="237" spans="1:13" ht="18" customHeight="1">
      <c r="A237" s="325" t="str">
        <f t="shared" si="21"/>
        <v>NL</v>
      </c>
      <c r="B237" s="569">
        <f t="shared" si="22"/>
        <v>220</v>
      </c>
      <c r="C237" s="203" t="s">
        <v>581</v>
      </c>
      <c r="D237" s="328" t="s">
        <v>486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100</v>
      </c>
      <c r="L237" s="8">
        <f t="shared" si="20"/>
        <v>2289700</v>
      </c>
      <c r="M237" s="329"/>
    </row>
    <row r="238" spans="1:13" ht="18" customHeight="1">
      <c r="A238" s="325" t="str">
        <f t="shared" si="21"/>
        <v>NL</v>
      </c>
      <c r="B238" s="569">
        <f t="shared" si="22"/>
        <v>221</v>
      </c>
      <c r="C238" s="40" t="s">
        <v>737</v>
      </c>
      <c r="D238" s="328" t="s">
        <v>486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104</v>
      </c>
      <c r="L238" s="8">
        <f t="shared" si="20"/>
        <v>2376712</v>
      </c>
      <c r="M238" s="329"/>
    </row>
    <row r="239" spans="1:13" ht="18" customHeight="1">
      <c r="A239" s="325" t="str">
        <f t="shared" si="21"/>
        <v>NL</v>
      </c>
      <c r="B239" s="569">
        <f t="shared" si="22"/>
        <v>222</v>
      </c>
      <c r="C239" s="40" t="s">
        <v>1043</v>
      </c>
      <c r="D239" s="328" t="s">
        <v>486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500</v>
      </c>
      <c r="L239" s="8">
        <f t="shared" si="20"/>
        <v>9373000</v>
      </c>
      <c r="M239" s="329"/>
    </row>
    <row r="240" spans="1:13" ht="18" customHeight="1">
      <c r="A240" s="325" t="str">
        <f t="shared" si="21"/>
        <v>NL</v>
      </c>
      <c r="B240" s="569">
        <f t="shared" si="22"/>
        <v>223</v>
      </c>
      <c r="C240" s="40" t="s">
        <v>1048</v>
      </c>
      <c r="D240" s="328" t="s">
        <v>486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100</v>
      </c>
      <c r="L240" s="8">
        <f t="shared" si="20"/>
        <v>2859600</v>
      </c>
      <c r="M240" s="329"/>
    </row>
    <row r="241" spans="1:13" ht="18" customHeight="1">
      <c r="A241" s="325" t="str">
        <f t="shared" si="21"/>
        <v>NL</v>
      </c>
      <c r="B241" s="569">
        <f t="shared" si="22"/>
        <v>224</v>
      </c>
      <c r="C241" s="40" t="s">
        <v>811</v>
      </c>
      <c r="D241" s="328" t="s">
        <v>486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100</v>
      </c>
      <c r="L241" s="8">
        <f t="shared" si="20"/>
        <v>3001200</v>
      </c>
      <c r="M241" s="329"/>
    </row>
    <row r="242" spans="1:13" ht="18" customHeight="1">
      <c r="A242" s="325" t="str">
        <f t="shared" si="21"/>
        <v>NL</v>
      </c>
      <c r="B242" s="569">
        <f t="shared" si="22"/>
        <v>225</v>
      </c>
      <c r="C242" s="40" t="s">
        <v>1047</v>
      </c>
      <c r="D242" s="328" t="s">
        <v>486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100</v>
      </c>
      <c r="L242" s="8">
        <f t="shared" si="20"/>
        <v>578300</v>
      </c>
      <c r="M242" s="329"/>
    </row>
    <row r="243" spans="1:13" ht="18" customHeight="1">
      <c r="A243" s="325" t="str">
        <f t="shared" si="21"/>
        <v>NL</v>
      </c>
      <c r="B243" s="569">
        <f t="shared" si="22"/>
        <v>226</v>
      </c>
      <c r="C243" s="40" t="s">
        <v>787</v>
      </c>
      <c r="D243" s="328" t="s">
        <v>486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100</v>
      </c>
      <c r="L243" s="8">
        <f t="shared" si="20"/>
        <v>933200</v>
      </c>
      <c r="M243" s="329"/>
    </row>
    <row r="244" spans="1:13" ht="18" customHeight="1">
      <c r="A244" s="325" t="str">
        <f t="shared" si="21"/>
        <v>NL</v>
      </c>
      <c r="B244" s="569">
        <f t="shared" si="22"/>
        <v>227</v>
      </c>
      <c r="C244" s="40" t="s">
        <v>971</v>
      </c>
      <c r="D244" s="328" t="s">
        <v>486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100</v>
      </c>
      <c r="L244" s="8">
        <f t="shared" si="20"/>
        <v>898900</v>
      </c>
      <c r="M244" s="329"/>
    </row>
    <row r="245" spans="1:13" ht="18" customHeight="1">
      <c r="A245" s="325" t="str">
        <f t="shared" si="21"/>
        <v>NL</v>
      </c>
      <c r="B245" s="569">
        <f t="shared" si="22"/>
        <v>228</v>
      </c>
      <c r="C245" s="40" t="s">
        <v>946</v>
      </c>
      <c r="D245" s="328" t="s">
        <v>486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960</v>
      </c>
      <c r="L245" s="8">
        <f t="shared" si="20"/>
        <v>13826880</v>
      </c>
      <c r="M245" s="329"/>
    </row>
    <row r="246" spans="1:13" ht="18" customHeight="1">
      <c r="A246" s="325" t="str">
        <f t="shared" si="21"/>
        <v>NL</v>
      </c>
      <c r="B246" s="569">
        <f t="shared" si="22"/>
        <v>229</v>
      </c>
      <c r="C246" s="40" t="s">
        <v>858</v>
      </c>
      <c r="D246" s="328" t="s">
        <v>486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500</v>
      </c>
      <c r="L246" s="8">
        <f t="shared" si="20"/>
        <v>7250000</v>
      </c>
      <c r="M246" s="329"/>
    </row>
    <row r="247" spans="1:13" ht="18" customHeight="1">
      <c r="A247" s="325" t="str">
        <f t="shared" si="21"/>
        <v>NL</v>
      </c>
      <c r="B247" s="569">
        <f t="shared" si="22"/>
        <v>230</v>
      </c>
      <c r="C247" s="40" t="s">
        <v>854</v>
      </c>
      <c r="D247" s="328" t="s">
        <v>486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500</v>
      </c>
      <c r="L247" s="8">
        <f t="shared" si="20"/>
        <v>8609500</v>
      </c>
      <c r="M247" s="329"/>
    </row>
    <row r="248" spans="1:13" ht="18" customHeight="1">
      <c r="A248" s="325" t="str">
        <f t="shared" si="21"/>
        <v>NL</v>
      </c>
      <c r="B248" s="569">
        <f t="shared" si="22"/>
        <v>231</v>
      </c>
      <c r="C248" s="40" t="s">
        <v>872</v>
      </c>
      <c r="D248" s="328" t="s">
        <v>486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2150</v>
      </c>
      <c r="L248" s="8">
        <f t="shared" si="20"/>
        <v>37317550</v>
      </c>
      <c r="M248" s="329"/>
    </row>
    <row r="249" spans="1:13" ht="18" customHeight="1">
      <c r="A249" s="325" t="str">
        <f t="shared" si="21"/>
        <v>NL</v>
      </c>
      <c r="B249" s="569">
        <f t="shared" si="22"/>
        <v>232</v>
      </c>
      <c r="C249" s="40" t="s">
        <v>874</v>
      </c>
      <c r="D249" s="328" t="s">
        <v>486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270</v>
      </c>
      <c r="L249" s="8">
        <f t="shared" si="20"/>
        <v>4946670</v>
      </c>
      <c r="M249" s="329"/>
    </row>
    <row r="250" spans="1:13" ht="18" customHeight="1">
      <c r="A250" s="325" t="str">
        <f t="shared" si="21"/>
        <v>NL</v>
      </c>
      <c r="B250" s="569">
        <f t="shared" si="22"/>
        <v>233</v>
      </c>
      <c r="C250" s="40" t="s">
        <v>856</v>
      </c>
      <c r="D250" s="328" t="s">
        <v>486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500</v>
      </c>
      <c r="L250" s="8">
        <f t="shared" si="20"/>
        <v>9461500</v>
      </c>
      <c r="M250" s="329"/>
    </row>
    <row r="251" spans="1:13" ht="18" customHeight="1">
      <c r="A251" s="325" t="str">
        <f t="shared" si="21"/>
        <v>NL</v>
      </c>
      <c r="B251" s="569">
        <f t="shared" si="22"/>
        <v>234</v>
      </c>
      <c r="C251" s="40" t="s">
        <v>857</v>
      </c>
      <c r="D251" s="328" t="s">
        <v>486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500</v>
      </c>
      <c r="L251" s="8">
        <f t="shared" si="20"/>
        <v>9987000</v>
      </c>
      <c r="M251" s="329"/>
    </row>
    <row r="252" spans="1:13" ht="18" customHeight="1">
      <c r="A252" s="325" t="str">
        <f t="shared" si="21"/>
        <v>NL</v>
      </c>
      <c r="B252" s="569">
        <f t="shared" si="22"/>
        <v>235</v>
      </c>
      <c r="C252" s="40" t="s">
        <v>855</v>
      </c>
      <c r="D252" s="328" t="s">
        <v>486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300</v>
      </c>
      <c r="L252" s="8">
        <f t="shared" si="20"/>
        <v>7993200</v>
      </c>
      <c r="M252" s="329"/>
    </row>
    <row r="253" spans="1:13" ht="18" customHeight="1">
      <c r="A253" s="325" t="str">
        <f t="shared" si="21"/>
        <v>NL</v>
      </c>
      <c r="B253" s="569">
        <f t="shared" si="22"/>
        <v>236</v>
      </c>
      <c r="C253" s="40" t="s">
        <v>908</v>
      </c>
      <c r="D253" s="328" t="s">
        <v>486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840</v>
      </c>
      <c r="L253" s="8">
        <f t="shared" si="20"/>
        <v>23020200</v>
      </c>
      <c r="M253" s="329"/>
    </row>
    <row r="254" spans="1:13" ht="18" customHeight="1">
      <c r="A254" s="325" t="str">
        <f t="shared" si="21"/>
        <v>NL</v>
      </c>
      <c r="B254" s="569">
        <f t="shared" si="22"/>
        <v>237</v>
      </c>
      <c r="C254" s="40" t="s">
        <v>877</v>
      </c>
      <c r="D254" s="328" t="s">
        <v>486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360</v>
      </c>
      <c r="L254" s="8">
        <f t="shared" si="20"/>
        <v>10359000</v>
      </c>
      <c r="M254" s="329"/>
    </row>
    <row r="255" spans="1:13" ht="18" customHeight="1">
      <c r="A255" s="325" t="str">
        <f t="shared" si="21"/>
        <v>NL</v>
      </c>
      <c r="B255" s="569">
        <f t="shared" si="22"/>
        <v>238</v>
      </c>
      <c r="C255" s="40" t="s">
        <v>859</v>
      </c>
      <c r="D255" s="328" t="s">
        <v>486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300</v>
      </c>
      <c r="L255" s="8">
        <f t="shared" si="20"/>
        <v>9330900</v>
      </c>
      <c r="M255" s="329"/>
    </row>
    <row r="256" spans="1:13" ht="18" customHeight="1">
      <c r="A256" s="325" t="str">
        <f t="shared" si="21"/>
        <v>NL</v>
      </c>
      <c r="B256" s="569">
        <f t="shared" si="22"/>
        <v>239</v>
      </c>
      <c r="C256" s="40" t="s">
        <v>1090</v>
      </c>
      <c r="D256" s="328" t="s">
        <v>486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150</v>
      </c>
      <c r="L256" s="8">
        <f t="shared" si="20"/>
        <v>1767000</v>
      </c>
      <c r="M256" s="329"/>
    </row>
    <row r="257" spans="1:13" ht="18" customHeight="1">
      <c r="A257" s="325" t="str">
        <f t="shared" si="21"/>
        <v>NL</v>
      </c>
      <c r="B257" s="569">
        <f t="shared" si="22"/>
        <v>240</v>
      </c>
      <c r="C257" s="40" t="s">
        <v>1086</v>
      </c>
      <c r="D257" s="328" t="s">
        <v>486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209</v>
      </c>
      <c r="L257" s="8">
        <f t="shared" si="20"/>
        <v>3827626</v>
      </c>
      <c r="M257" s="329"/>
    </row>
    <row r="258" spans="1:13" ht="18" customHeight="1">
      <c r="A258" s="325" t="str">
        <f t="shared" si="21"/>
        <v>NL</v>
      </c>
      <c r="B258" s="569">
        <f t="shared" si="22"/>
        <v>241</v>
      </c>
      <c r="C258" s="40" t="s">
        <v>1092</v>
      </c>
      <c r="D258" s="328" t="s">
        <v>486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202</v>
      </c>
      <c r="L258" s="8">
        <f t="shared" si="20"/>
        <v>4240384</v>
      </c>
      <c r="M258" s="329"/>
    </row>
    <row r="259" spans="1:13" ht="18" customHeight="1">
      <c r="A259" s="325" t="str">
        <f t="shared" si="21"/>
        <v>NL</v>
      </c>
      <c r="B259" s="569">
        <f t="shared" si="22"/>
        <v>242</v>
      </c>
      <c r="C259" s="40" t="s">
        <v>1089</v>
      </c>
      <c r="D259" s="328" t="s">
        <v>486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760</v>
      </c>
      <c r="L259" s="8">
        <f t="shared" si="20"/>
        <v>15819400</v>
      </c>
      <c r="M259" s="329"/>
    </row>
    <row r="260" spans="1:13" ht="18" customHeight="1">
      <c r="A260" s="325" t="str">
        <f t="shared" si="21"/>
        <v>NL</v>
      </c>
      <c r="B260" s="569">
        <f t="shared" si="22"/>
        <v>243</v>
      </c>
      <c r="C260" s="40" t="s">
        <v>1087</v>
      </c>
      <c r="D260" s="328" t="s">
        <v>486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500</v>
      </c>
      <c r="L260" s="8">
        <f t="shared" si="20"/>
        <v>14175000</v>
      </c>
      <c r="M260" s="329"/>
    </row>
    <row r="261" spans="1:13" ht="18" customHeight="1">
      <c r="A261" s="325" t="str">
        <f t="shared" si="21"/>
        <v>NL</v>
      </c>
      <c r="B261" s="569">
        <f t="shared" si="22"/>
        <v>244</v>
      </c>
      <c r="C261" s="40" t="s">
        <v>1093</v>
      </c>
      <c r="D261" s="328" t="s">
        <v>486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218</v>
      </c>
      <c r="L261" s="8">
        <f t="shared" si="20"/>
        <v>4558380</v>
      </c>
      <c r="M261" s="329"/>
    </row>
    <row r="262" spans="1:13" ht="18" customHeight="1">
      <c r="A262" s="325" t="str">
        <f t="shared" si="21"/>
        <v>NL</v>
      </c>
      <c r="B262" s="569">
        <f t="shared" si="22"/>
        <v>245</v>
      </c>
      <c r="C262" s="40" t="s">
        <v>1084</v>
      </c>
      <c r="D262" s="328" t="s">
        <v>486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754</v>
      </c>
      <c r="L262" s="8">
        <f t="shared" si="20"/>
        <v>10056852</v>
      </c>
      <c r="M262" s="329"/>
    </row>
    <row r="263" spans="1:13" ht="18" customHeight="1">
      <c r="A263" s="325" t="str">
        <f t="shared" si="21"/>
        <v>NL</v>
      </c>
      <c r="B263" s="569">
        <f t="shared" si="22"/>
        <v>246</v>
      </c>
      <c r="C263" s="40" t="s">
        <v>1102</v>
      </c>
      <c r="D263" s="328" t="s">
        <v>457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988</v>
      </c>
      <c r="L263" s="8">
        <f t="shared" si="20"/>
        <v>22391044</v>
      </c>
      <c r="M263" s="329"/>
    </row>
    <row r="264" spans="1:13" ht="18" customHeight="1">
      <c r="A264" s="325" t="str">
        <f t="shared" si="21"/>
        <v>NL</v>
      </c>
      <c r="B264" s="569">
        <f t="shared" si="22"/>
        <v>247</v>
      </c>
      <c r="C264" s="203" t="s">
        <v>666</v>
      </c>
      <c r="D264" s="328" t="s">
        <v>457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100</v>
      </c>
      <c r="L264" s="8">
        <f t="shared" si="20"/>
        <v>1416600</v>
      </c>
      <c r="M264" s="329"/>
    </row>
    <row r="265" spans="1:13" ht="18" customHeight="1">
      <c r="A265" s="325" t="str">
        <f t="shared" si="21"/>
        <v>NL</v>
      </c>
      <c r="B265" s="569">
        <f t="shared" si="22"/>
        <v>248</v>
      </c>
      <c r="C265" s="40" t="s">
        <v>677</v>
      </c>
      <c r="D265" s="328" t="s">
        <v>457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102</v>
      </c>
      <c r="L265" s="8">
        <f t="shared" si="20"/>
        <v>1486446</v>
      </c>
      <c r="M265" s="329"/>
    </row>
    <row r="266" spans="1:13" ht="18" customHeight="1">
      <c r="A266" s="325" t="str">
        <f t="shared" si="21"/>
        <v>NL</v>
      </c>
      <c r="B266" s="569">
        <f t="shared" si="22"/>
        <v>249</v>
      </c>
      <c r="C266" s="203" t="s">
        <v>670</v>
      </c>
      <c r="D266" s="328" t="s">
        <v>457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50</v>
      </c>
      <c r="L266" s="8">
        <f t="shared" si="20"/>
        <v>1056500</v>
      </c>
      <c r="M266" s="329"/>
    </row>
    <row r="267" spans="1:13" ht="18" customHeight="1">
      <c r="A267" s="325" t="str">
        <f t="shared" si="21"/>
        <v>NL</v>
      </c>
      <c r="B267" s="569">
        <f t="shared" si="22"/>
        <v>250</v>
      </c>
      <c r="C267" s="203" t="s">
        <v>669</v>
      </c>
      <c r="D267" s="328" t="s">
        <v>457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50</v>
      </c>
      <c r="L267" s="8">
        <f t="shared" si="20"/>
        <v>872150</v>
      </c>
      <c r="M267" s="329"/>
    </row>
    <row r="268" spans="1:13" ht="18" customHeight="1">
      <c r="A268" s="325" t="str">
        <f t="shared" si="21"/>
        <v>NL</v>
      </c>
      <c r="B268" s="569">
        <f t="shared" si="22"/>
        <v>251</v>
      </c>
      <c r="C268" s="203" t="s">
        <v>671</v>
      </c>
      <c r="D268" s="328" t="s">
        <v>457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169</v>
      </c>
      <c r="L268" s="8">
        <f t="shared" si="20"/>
        <v>3224520</v>
      </c>
      <c r="M268" s="329"/>
    </row>
    <row r="269" spans="1:13" ht="18" customHeight="1">
      <c r="A269" s="325" t="str">
        <f t="shared" si="21"/>
        <v>NL</v>
      </c>
      <c r="B269" s="569">
        <f t="shared" si="22"/>
        <v>252</v>
      </c>
      <c r="C269" s="40" t="s">
        <v>652</v>
      </c>
      <c r="D269" s="328" t="s">
        <v>457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140</v>
      </c>
      <c r="L269" s="8">
        <f t="shared" si="20"/>
        <v>2257920</v>
      </c>
      <c r="M269" s="329"/>
    </row>
    <row r="270" spans="1:13" ht="18" customHeight="1">
      <c r="A270" s="325" t="str">
        <f t="shared" si="21"/>
        <v>NL</v>
      </c>
      <c r="B270" s="569">
        <f t="shared" si="22"/>
        <v>253</v>
      </c>
      <c r="C270" s="203" t="s">
        <v>673</v>
      </c>
      <c r="D270" s="328" t="s">
        <v>457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105</v>
      </c>
      <c r="L270" s="8">
        <f t="shared" si="20"/>
        <v>1840650</v>
      </c>
      <c r="M270" s="329"/>
    </row>
    <row r="271" spans="1:13" ht="18" customHeight="1">
      <c r="A271" s="325" t="str">
        <f t="shared" si="21"/>
        <v>NL</v>
      </c>
      <c r="B271" s="569">
        <f t="shared" si="22"/>
        <v>254</v>
      </c>
      <c r="C271" s="203" t="s">
        <v>672</v>
      </c>
      <c r="D271" s="328" t="s">
        <v>457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195</v>
      </c>
      <c r="L271" s="8">
        <f t="shared" si="20"/>
        <v>4064190</v>
      </c>
      <c r="M271" s="329"/>
    </row>
    <row r="272" spans="1:13" ht="18" customHeight="1">
      <c r="A272" s="325" t="str">
        <f t="shared" si="21"/>
        <v>NL</v>
      </c>
      <c r="B272" s="569">
        <f t="shared" si="22"/>
        <v>255</v>
      </c>
      <c r="C272" s="40" t="s">
        <v>682</v>
      </c>
      <c r="D272" s="328" t="s">
        <v>457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263</v>
      </c>
      <c r="L272" s="8">
        <f t="shared" si="20"/>
        <v>3126018</v>
      </c>
      <c r="M272" s="329"/>
    </row>
    <row r="273" spans="1:13" ht="18" customHeight="1">
      <c r="A273" s="325" t="str">
        <f t="shared" si="21"/>
        <v>NL</v>
      </c>
      <c r="B273" s="569">
        <f t="shared" si="22"/>
        <v>256</v>
      </c>
      <c r="C273" s="203" t="s">
        <v>631</v>
      </c>
      <c r="D273" s="328" t="s">
        <v>457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22</v>
      </c>
      <c r="L273" s="8">
        <f t="shared" si="20"/>
        <v>387772</v>
      </c>
      <c r="M273" s="329"/>
    </row>
    <row r="274" spans="1:13" ht="18" customHeight="1">
      <c r="A274" s="325" t="str">
        <f t="shared" si="21"/>
        <v>NL</v>
      </c>
      <c r="B274" s="569">
        <f t="shared" si="22"/>
        <v>257</v>
      </c>
      <c r="C274" s="203" t="s">
        <v>642</v>
      </c>
      <c r="D274" s="328" t="s">
        <v>457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40</v>
      </c>
      <c r="L274" s="8">
        <f t="shared" ref="L274:L337" si="24">F274+H274-J274</f>
        <v>534880</v>
      </c>
      <c r="M274" s="329"/>
    </row>
    <row r="275" spans="1:13" ht="18" customHeight="1">
      <c r="A275" s="325" t="str">
        <f t="shared" ref="A275:A338" si="25">IF(B275&lt;&gt;"","NL","")</f>
        <v>NL</v>
      </c>
      <c r="B275" s="569">
        <f t="shared" ref="B275:B338" si="26">IF(C275&lt;&gt;"",B274+1,"")</f>
        <v>258</v>
      </c>
      <c r="C275" s="40" t="s">
        <v>689</v>
      </c>
      <c r="D275" s="328" t="s">
        <v>457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254</v>
      </c>
      <c r="L275" s="8">
        <f t="shared" si="24"/>
        <v>4207510</v>
      </c>
      <c r="M275" s="329"/>
    </row>
    <row r="276" spans="1:13" ht="18" customHeight="1">
      <c r="A276" s="325" t="str">
        <f t="shared" si="25"/>
        <v>NL</v>
      </c>
      <c r="B276" s="569">
        <f t="shared" si="26"/>
        <v>259</v>
      </c>
      <c r="C276" s="203" t="s">
        <v>640</v>
      </c>
      <c r="D276" s="328" t="s">
        <v>457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70</v>
      </c>
      <c r="L276" s="8">
        <f t="shared" si="24"/>
        <v>1041250</v>
      </c>
      <c r="M276" s="329"/>
    </row>
    <row r="277" spans="1:13" ht="18" customHeight="1">
      <c r="A277" s="325" t="str">
        <f t="shared" si="25"/>
        <v>NL</v>
      </c>
      <c r="B277" s="569">
        <f t="shared" si="26"/>
        <v>260</v>
      </c>
      <c r="C277" s="203" t="s">
        <v>664</v>
      </c>
      <c r="D277" s="328" t="s">
        <v>457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350</v>
      </c>
      <c r="L277" s="8">
        <f t="shared" si="24"/>
        <v>5831000</v>
      </c>
      <c r="M277" s="329"/>
    </row>
    <row r="278" spans="1:13" ht="18" customHeight="1">
      <c r="A278" s="325" t="str">
        <f t="shared" si="25"/>
        <v>NL</v>
      </c>
      <c r="B278" s="569">
        <f t="shared" si="26"/>
        <v>261</v>
      </c>
      <c r="C278" s="203" t="s">
        <v>641</v>
      </c>
      <c r="D278" s="328" t="s">
        <v>457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30</v>
      </c>
      <c r="L278" s="8">
        <f t="shared" si="24"/>
        <v>461550</v>
      </c>
      <c r="M278" s="329"/>
    </row>
    <row r="279" spans="1:13" ht="18" customHeight="1">
      <c r="A279" s="325" t="str">
        <f t="shared" si="25"/>
        <v>NL</v>
      </c>
      <c r="B279" s="569">
        <f t="shared" si="26"/>
        <v>262</v>
      </c>
      <c r="C279" s="203" t="s">
        <v>636</v>
      </c>
      <c r="D279" s="328" t="s">
        <v>457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255</v>
      </c>
      <c r="L279" s="8">
        <f t="shared" si="24"/>
        <v>4953120</v>
      </c>
      <c r="M279" s="329"/>
    </row>
    <row r="280" spans="1:13" ht="18" customHeight="1">
      <c r="A280" s="325" t="str">
        <f t="shared" si="25"/>
        <v>NL</v>
      </c>
      <c r="B280" s="569">
        <f t="shared" si="26"/>
        <v>263</v>
      </c>
      <c r="C280" s="40" t="s">
        <v>684</v>
      </c>
      <c r="D280" s="328" t="s">
        <v>457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520</v>
      </c>
      <c r="L280" s="8">
        <f t="shared" si="24"/>
        <v>11145680</v>
      </c>
      <c r="M280" s="329"/>
    </row>
    <row r="281" spans="1:13" ht="18" customHeight="1">
      <c r="A281" s="325" t="str">
        <f t="shared" si="25"/>
        <v>NL</v>
      </c>
      <c r="B281" s="569">
        <f t="shared" si="26"/>
        <v>264</v>
      </c>
      <c r="C281" s="203" t="s">
        <v>634</v>
      </c>
      <c r="D281" s="328" t="s">
        <v>457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230</v>
      </c>
      <c r="L281" s="8">
        <f t="shared" si="24"/>
        <v>4648990</v>
      </c>
      <c r="M281" s="329"/>
    </row>
    <row r="282" spans="1:13" ht="18" customHeight="1">
      <c r="A282" s="325" t="str">
        <f t="shared" si="25"/>
        <v>NL</v>
      </c>
      <c r="B282" s="569">
        <f t="shared" si="26"/>
        <v>265</v>
      </c>
      <c r="C282" s="203" t="s">
        <v>628</v>
      </c>
      <c r="D282" s="328" t="s">
        <v>457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509</v>
      </c>
      <c r="L282" s="8">
        <f t="shared" si="24"/>
        <v>6806348</v>
      </c>
      <c r="M282" s="329"/>
    </row>
    <row r="283" spans="1:13" ht="18" customHeight="1">
      <c r="A283" s="325" t="str">
        <f t="shared" si="25"/>
        <v>NL</v>
      </c>
      <c r="B283" s="569">
        <f t="shared" si="26"/>
        <v>266</v>
      </c>
      <c r="C283" s="203" t="s">
        <v>637</v>
      </c>
      <c r="D283" s="328" t="s">
        <v>457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35</v>
      </c>
      <c r="L283" s="8">
        <f t="shared" si="24"/>
        <v>741965</v>
      </c>
      <c r="M283" s="329"/>
    </row>
    <row r="284" spans="1:13" ht="18" customHeight="1">
      <c r="A284" s="325" t="str">
        <f t="shared" si="25"/>
        <v>NL</v>
      </c>
      <c r="B284" s="569">
        <f t="shared" si="26"/>
        <v>267</v>
      </c>
      <c r="C284" s="203" t="s">
        <v>632</v>
      </c>
      <c r="D284" s="328" t="s">
        <v>457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180</v>
      </c>
      <c r="L284" s="8">
        <f t="shared" si="24"/>
        <v>4249800</v>
      </c>
      <c r="M284" s="329"/>
    </row>
    <row r="285" spans="1:13" ht="18" customHeight="1">
      <c r="A285" s="325" t="str">
        <f t="shared" si="25"/>
        <v>NL</v>
      </c>
      <c r="B285" s="569">
        <f t="shared" si="26"/>
        <v>268</v>
      </c>
      <c r="C285" s="203" t="s">
        <v>633</v>
      </c>
      <c r="D285" s="328" t="s">
        <v>457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29</v>
      </c>
      <c r="L285" s="8">
        <f t="shared" si="24"/>
        <v>690983</v>
      </c>
      <c r="M285" s="329"/>
    </row>
    <row r="286" spans="1:13" ht="18" customHeight="1">
      <c r="A286" s="325" t="str">
        <f t="shared" si="25"/>
        <v>NL</v>
      </c>
      <c r="B286" s="569">
        <f t="shared" si="26"/>
        <v>269</v>
      </c>
      <c r="C286" s="203" t="s">
        <v>635</v>
      </c>
      <c r="D286" s="328" t="s">
        <v>457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85</v>
      </c>
      <c r="L286" s="8">
        <f t="shared" si="24"/>
        <v>1885725</v>
      </c>
      <c r="M286" s="329"/>
    </row>
    <row r="287" spans="1:13" ht="18" customHeight="1">
      <c r="A287" s="325" t="str">
        <f t="shared" si="25"/>
        <v>NL</v>
      </c>
      <c r="B287" s="569">
        <f t="shared" si="26"/>
        <v>270</v>
      </c>
      <c r="C287" s="203" t="s">
        <v>638</v>
      </c>
      <c r="D287" s="328" t="s">
        <v>457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30</v>
      </c>
      <c r="L287" s="8">
        <f t="shared" si="24"/>
        <v>409230</v>
      </c>
      <c r="M287" s="329"/>
    </row>
    <row r="288" spans="1:13" ht="18" customHeight="1">
      <c r="A288" s="325" t="str">
        <f t="shared" si="25"/>
        <v>NL</v>
      </c>
      <c r="B288" s="569">
        <f t="shared" si="26"/>
        <v>271</v>
      </c>
      <c r="C288" s="203" t="s">
        <v>639</v>
      </c>
      <c r="D288" s="328" t="s">
        <v>457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50</v>
      </c>
      <c r="L288" s="8">
        <f t="shared" si="24"/>
        <v>708050</v>
      </c>
      <c r="M288" s="329"/>
    </row>
    <row r="289" spans="1:13" ht="18" customHeight="1">
      <c r="A289" s="325" t="str">
        <f t="shared" si="25"/>
        <v>NL</v>
      </c>
      <c r="B289" s="569">
        <f t="shared" si="26"/>
        <v>272</v>
      </c>
      <c r="C289" s="203" t="s">
        <v>675</v>
      </c>
      <c r="D289" s="328" t="s">
        <v>457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1500</v>
      </c>
      <c r="L289" s="8">
        <f t="shared" si="24"/>
        <v>856500</v>
      </c>
      <c r="M289" s="329"/>
    </row>
    <row r="290" spans="1:13" ht="18" customHeight="1">
      <c r="A290" s="325" t="str">
        <f t="shared" si="25"/>
        <v>NL</v>
      </c>
      <c r="B290" s="569">
        <f t="shared" si="26"/>
        <v>273</v>
      </c>
      <c r="C290" s="40" t="s">
        <v>691</v>
      </c>
      <c r="D290" s="328" t="s">
        <v>457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760</v>
      </c>
      <c r="L290" s="8">
        <f t="shared" si="24"/>
        <v>9831360</v>
      </c>
      <c r="M290" s="329"/>
    </row>
    <row r="291" spans="1:13" ht="18" customHeight="1">
      <c r="A291" s="325" t="str">
        <f t="shared" si="25"/>
        <v>NL</v>
      </c>
      <c r="B291" s="569">
        <f t="shared" si="26"/>
        <v>274</v>
      </c>
      <c r="C291" s="203" t="s">
        <v>661</v>
      </c>
      <c r="D291" s="328" t="s">
        <v>457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150</v>
      </c>
      <c r="L291" s="8">
        <f t="shared" si="24"/>
        <v>1733100</v>
      </c>
      <c r="M291" s="329"/>
    </row>
    <row r="292" spans="1:13" ht="18" customHeight="1">
      <c r="A292" s="325" t="str">
        <f t="shared" si="25"/>
        <v>NL</v>
      </c>
      <c r="B292" s="569">
        <f t="shared" si="26"/>
        <v>275</v>
      </c>
      <c r="C292" s="40" t="s">
        <v>676</v>
      </c>
      <c r="D292" s="328" t="s">
        <v>457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55</v>
      </c>
      <c r="L292" s="8">
        <f t="shared" si="24"/>
        <v>595045</v>
      </c>
      <c r="M292" s="329"/>
    </row>
    <row r="293" spans="1:13" ht="18" customHeight="1">
      <c r="A293" s="325" t="str">
        <f t="shared" si="25"/>
        <v>NL</v>
      </c>
      <c r="B293" s="569">
        <f t="shared" si="26"/>
        <v>276</v>
      </c>
      <c r="C293" s="203" t="s">
        <v>659</v>
      </c>
      <c r="D293" s="328" t="s">
        <v>457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240</v>
      </c>
      <c r="L293" s="8">
        <f t="shared" si="24"/>
        <v>3759600</v>
      </c>
      <c r="M293" s="329"/>
    </row>
    <row r="294" spans="1:13" ht="18" customHeight="1">
      <c r="A294" s="325" t="str">
        <f t="shared" si="25"/>
        <v>NL</v>
      </c>
      <c r="B294" s="569">
        <f t="shared" si="26"/>
        <v>277</v>
      </c>
      <c r="C294" s="203" t="s">
        <v>660</v>
      </c>
      <c r="D294" s="328" t="s">
        <v>457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20</v>
      </c>
      <c r="L294" s="8">
        <f t="shared" si="24"/>
        <v>326920</v>
      </c>
      <c r="M294" s="329"/>
    </row>
    <row r="295" spans="1:13" ht="18" customHeight="1">
      <c r="A295" s="325" t="str">
        <f t="shared" si="25"/>
        <v>NL</v>
      </c>
      <c r="B295" s="569">
        <f t="shared" si="26"/>
        <v>278</v>
      </c>
      <c r="C295" s="40" t="s">
        <v>693</v>
      </c>
      <c r="D295" s="328" t="s">
        <v>457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118</v>
      </c>
      <c r="L295" s="8">
        <f t="shared" si="24"/>
        <v>1446680</v>
      </c>
      <c r="M295" s="329"/>
    </row>
    <row r="296" spans="1:13" ht="18" customHeight="1">
      <c r="A296" s="325" t="str">
        <f t="shared" si="25"/>
        <v>NL</v>
      </c>
      <c r="B296" s="569">
        <f t="shared" si="26"/>
        <v>279</v>
      </c>
      <c r="C296" s="203" t="s">
        <v>668</v>
      </c>
      <c r="D296" s="328" t="s">
        <v>457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300</v>
      </c>
      <c r="L296" s="8">
        <f t="shared" si="24"/>
        <v>5328900</v>
      </c>
      <c r="M296" s="329"/>
    </row>
    <row r="297" spans="1:13" ht="18" customHeight="1">
      <c r="A297" s="325" t="str">
        <f t="shared" si="25"/>
        <v>NL</v>
      </c>
      <c r="B297" s="569">
        <f t="shared" si="26"/>
        <v>280</v>
      </c>
      <c r="C297" s="203" t="s">
        <v>662</v>
      </c>
      <c r="D297" s="328" t="s">
        <v>457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30</v>
      </c>
      <c r="L297" s="8">
        <f t="shared" si="24"/>
        <v>424530</v>
      </c>
      <c r="M297" s="329"/>
    </row>
    <row r="298" spans="1:13" ht="18" customHeight="1">
      <c r="A298" s="325" t="str">
        <f t="shared" si="25"/>
        <v>NL</v>
      </c>
      <c r="B298" s="569">
        <f t="shared" si="26"/>
        <v>281</v>
      </c>
      <c r="C298" s="40" t="s">
        <v>679</v>
      </c>
      <c r="D298" s="328" t="s">
        <v>457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105</v>
      </c>
      <c r="L298" s="8">
        <f t="shared" si="24"/>
        <v>2454165</v>
      </c>
      <c r="M298" s="329"/>
    </row>
    <row r="299" spans="1:13" ht="18" customHeight="1">
      <c r="A299" s="325" t="str">
        <f t="shared" si="25"/>
        <v>NL</v>
      </c>
      <c r="B299" s="569">
        <f t="shared" si="26"/>
        <v>282</v>
      </c>
      <c r="C299" s="40" t="s">
        <v>683</v>
      </c>
      <c r="D299" s="328" t="s">
        <v>457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225</v>
      </c>
      <c r="L299" s="8">
        <f t="shared" si="24"/>
        <v>3594150</v>
      </c>
      <c r="M299" s="329"/>
    </row>
    <row r="300" spans="1:13" ht="18" customHeight="1">
      <c r="A300" s="325" t="str">
        <f t="shared" si="25"/>
        <v>NL</v>
      </c>
      <c r="B300" s="569">
        <f t="shared" si="26"/>
        <v>283</v>
      </c>
      <c r="C300" s="40" t="s">
        <v>678</v>
      </c>
      <c r="D300" s="328" t="s">
        <v>457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195</v>
      </c>
      <c r="L300" s="8">
        <f t="shared" si="24"/>
        <v>3511560</v>
      </c>
      <c r="M300" s="329"/>
    </row>
    <row r="301" spans="1:13" ht="18" customHeight="1">
      <c r="A301" s="325" t="str">
        <f t="shared" si="25"/>
        <v>NL</v>
      </c>
      <c r="B301" s="569">
        <f t="shared" si="26"/>
        <v>284</v>
      </c>
      <c r="C301" s="203" t="s">
        <v>665</v>
      </c>
      <c r="D301" s="328" t="s">
        <v>457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100</v>
      </c>
      <c r="L301" s="8">
        <f t="shared" si="24"/>
        <v>2915500</v>
      </c>
      <c r="M301" s="329"/>
    </row>
    <row r="302" spans="1:13" ht="18" customHeight="1">
      <c r="A302" s="325" t="str">
        <f t="shared" si="25"/>
        <v>NL</v>
      </c>
      <c r="B302" s="569">
        <f t="shared" si="26"/>
        <v>285</v>
      </c>
      <c r="C302" s="40" t="s">
        <v>1103</v>
      </c>
      <c r="D302" s="328" t="s">
        <v>457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517</v>
      </c>
      <c r="L302" s="8">
        <f t="shared" si="24"/>
        <v>10330694</v>
      </c>
      <c r="M302" s="329"/>
    </row>
    <row r="303" spans="1:13" ht="18" customHeight="1">
      <c r="A303" s="325" t="str">
        <f t="shared" si="25"/>
        <v>NL</v>
      </c>
      <c r="B303" s="569">
        <f t="shared" si="26"/>
        <v>286</v>
      </c>
      <c r="C303" s="40" t="s">
        <v>680</v>
      </c>
      <c r="D303" s="328" t="s">
        <v>457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139</v>
      </c>
      <c r="L303" s="8">
        <f t="shared" si="24"/>
        <v>3944959</v>
      </c>
      <c r="M303" s="329"/>
    </row>
    <row r="304" spans="1:13" ht="18" customHeight="1">
      <c r="A304" s="325" t="str">
        <f t="shared" si="25"/>
        <v>NL</v>
      </c>
      <c r="B304" s="569">
        <f t="shared" si="26"/>
        <v>287</v>
      </c>
      <c r="C304" s="203" t="s">
        <v>658</v>
      </c>
      <c r="D304" s="328" t="s">
        <v>457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503</v>
      </c>
      <c r="L304" s="8">
        <f t="shared" si="24"/>
        <v>10317033</v>
      </c>
      <c r="M304" s="329"/>
    </row>
    <row r="305" spans="1:13" ht="18" customHeight="1">
      <c r="A305" s="325" t="str">
        <f t="shared" si="25"/>
        <v>NL</v>
      </c>
      <c r="B305" s="569">
        <f t="shared" si="26"/>
        <v>288</v>
      </c>
      <c r="C305" s="40" t="s">
        <v>685</v>
      </c>
      <c r="D305" s="328" t="s">
        <v>457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678</v>
      </c>
      <c r="L305" s="8">
        <f t="shared" si="24"/>
        <v>19348764</v>
      </c>
      <c r="M305" s="329"/>
    </row>
    <row r="306" spans="1:13" ht="18" customHeight="1">
      <c r="A306" s="325" t="str">
        <f t="shared" si="25"/>
        <v>NL</v>
      </c>
      <c r="B306" s="569">
        <f t="shared" si="26"/>
        <v>289</v>
      </c>
      <c r="C306" s="203" t="s">
        <v>655</v>
      </c>
      <c r="D306" s="328" t="s">
        <v>457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274</v>
      </c>
      <c r="L306" s="8">
        <f t="shared" si="24"/>
        <v>7164004</v>
      </c>
      <c r="M306" s="329"/>
    </row>
    <row r="307" spans="1:13" ht="18" customHeight="1">
      <c r="A307" s="325" t="str">
        <f t="shared" si="25"/>
        <v>NL</v>
      </c>
      <c r="B307" s="569">
        <f t="shared" si="26"/>
        <v>290</v>
      </c>
      <c r="C307" s="40" t="s">
        <v>681</v>
      </c>
      <c r="D307" s="328" t="s">
        <v>457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78</v>
      </c>
      <c r="L307" s="8">
        <f t="shared" si="24"/>
        <v>2072694</v>
      </c>
      <c r="M307" s="329"/>
    </row>
    <row r="308" spans="1:13" ht="18" customHeight="1">
      <c r="A308" s="325" t="str">
        <f t="shared" si="25"/>
        <v>NL</v>
      </c>
      <c r="B308" s="569">
        <f t="shared" si="26"/>
        <v>291</v>
      </c>
      <c r="C308" s="40" t="s">
        <v>686</v>
      </c>
      <c r="D308" s="328" t="s">
        <v>457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436</v>
      </c>
      <c r="L308" s="8">
        <f t="shared" si="24"/>
        <v>10998100</v>
      </c>
      <c r="M308" s="329"/>
    </row>
    <row r="309" spans="1:13" ht="18" customHeight="1">
      <c r="A309" s="325" t="str">
        <f t="shared" si="25"/>
        <v>NL</v>
      </c>
      <c r="B309" s="569">
        <f t="shared" si="26"/>
        <v>292</v>
      </c>
      <c r="C309" s="40" t="s">
        <v>688</v>
      </c>
      <c r="D309" s="328" t="s">
        <v>457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130</v>
      </c>
      <c r="L309" s="8">
        <f t="shared" si="24"/>
        <v>3312400</v>
      </c>
      <c r="M309" s="329"/>
    </row>
    <row r="310" spans="1:13" ht="18" customHeight="1">
      <c r="A310" s="325" t="str">
        <f t="shared" si="25"/>
        <v>NL</v>
      </c>
      <c r="B310" s="569">
        <f t="shared" si="26"/>
        <v>293</v>
      </c>
      <c r="C310" s="40" t="s">
        <v>1100</v>
      </c>
      <c r="D310" s="328" t="s">
        <v>457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60</v>
      </c>
      <c r="L310" s="8">
        <f t="shared" si="24"/>
        <v>1570740</v>
      </c>
      <c r="M310" s="329"/>
    </row>
    <row r="311" spans="1:13" ht="18" customHeight="1">
      <c r="A311" s="325" t="str">
        <f t="shared" si="25"/>
        <v>NL</v>
      </c>
      <c r="B311" s="569">
        <f t="shared" si="26"/>
        <v>294</v>
      </c>
      <c r="C311" s="203" t="s">
        <v>654</v>
      </c>
      <c r="D311" s="328" t="s">
        <v>457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244</v>
      </c>
      <c r="L311" s="8">
        <f t="shared" si="24"/>
        <v>7523984</v>
      </c>
      <c r="M311" s="329"/>
    </row>
    <row r="312" spans="1:13" ht="18" customHeight="1">
      <c r="A312" s="325" t="str">
        <f t="shared" si="25"/>
        <v>NL</v>
      </c>
      <c r="B312" s="569">
        <f t="shared" si="26"/>
        <v>295</v>
      </c>
      <c r="C312" s="203" t="s">
        <v>674</v>
      </c>
      <c r="D312" s="328" t="s">
        <v>457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98</v>
      </c>
      <c r="L312" s="8">
        <f t="shared" si="24"/>
        <v>1870428</v>
      </c>
      <c r="M312" s="329"/>
    </row>
    <row r="313" spans="1:13" ht="18" customHeight="1">
      <c r="A313" s="325" t="str">
        <f t="shared" si="25"/>
        <v>NL</v>
      </c>
      <c r="B313" s="569">
        <f t="shared" si="26"/>
        <v>296</v>
      </c>
      <c r="C313" s="203" t="s">
        <v>663</v>
      </c>
      <c r="D313" s="328" t="s">
        <v>457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248</v>
      </c>
      <c r="L313" s="8">
        <f t="shared" si="24"/>
        <v>5534120</v>
      </c>
      <c r="M313" s="329"/>
    </row>
    <row r="314" spans="1:13" ht="18" customHeight="1">
      <c r="A314" s="325" t="str">
        <f t="shared" si="25"/>
        <v>NL</v>
      </c>
      <c r="B314" s="569">
        <f t="shared" si="26"/>
        <v>297</v>
      </c>
      <c r="C314" s="203" t="s">
        <v>656</v>
      </c>
      <c r="D314" s="328" t="s">
        <v>457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33</v>
      </c>
      <c r="L314" s="8">
        <f t="shared" si="24"/>
        <v>637428</v>
      </c>
      <c r="M314" s="329"/>
    </row>
    <row r="315" spans="1:13" ht="18" customHeight="1">
      <c r="A315" s="325" t="str">
        <f t="shared" si="25"/>
        <v>NL</v>
      </c>
      <c r="B315" s="569">
        <f t="shared" si="26"/>
        <v>298</v>
      </c>
      <c r="C315" s="40" t="s">
        <v>1108</v>
      </c>
      <c r="D315" s="328" t="s">
        <v>457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50</v>
      </c>
      <c r="L315" s="8">
        <f t="shared" si="24"/>
        <v>1641600</v>
      </c>
      <c r="M315" s="329"/>
    </row>
    <row r="316" spans="1:13" ht="18" customHeight="1">
      <c r="A316" s="325" t="str">
        <f t="shared" si="25"/>
        <v>NL</v>
      </c>
      <c r="B316" s="569">
        <f t="shared" si="26"/>
        <v>299</v>
      </c>
      <c r="C316" s="40" t="s">
        <v>1106</v>
      </c>
      <c r="D316" s="328" t="s">
        <v>457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381</v>
      </c>
      <c r="L316" s="8">
        <f t="shared" si="24"/>
        <v>7505319</v>
      </c>
      <c r="M316" s="329"/>
    </row>
    <row r="317" spans="1:13" ht="18" customHeight="1">
      <c r="A317" s="325" t="str">
        <f t="shared" si="25"/>
        <v>NL</v>
      </c>
      <c r="B317" s="569">
        <f t="shared" si="26"/>
        <v>300</v>
      </c>
      <c r="C317" s="40" t="s">
        <v>692</v>
      </c>
      <c r="D317" s="328" t="s">
        <v>457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103</v>
      </c>
      <c r="L317" s="8">
        <f t="shared" si="24"/>
        <v>881165</v>
      </c>
      <c r="M317" s="329"/>
    </row>
    <row r="318" spans="1:13" ht="18" customHeight="1">
      <c r="A318" s="325" t="str">
        <f t="shared" si="25"/>
        <v>NL</v>
      </c>
      <c r="B318" s="569">
        <f t="shared" si="26"/>
        <v>301</v>
      </c>
      <c r="C318" s="40" t="s">
        <v>871</v>
      </c>
      <c r="D318" s="328" t="s">
        <v>457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650</v>
      </c>
      <c r="L318" s="8">
        <f t="shared" si="24"/>
        <v>6123000</v>
      </c>
      <c r="M318" s="329"/>
    </row>
    <row r="319" spans="1:13" ht="18" customHeight="1">
      <c r="A319" s="325" t="str">
        <f t="shared" si="25"/>
        <v>NL</v>
      </c>
      <c r="B319" s="569">
        <f t="shared" si="26"/>
        <v>302</v>
      </c>
      <c r="C319" s="40" t="s">
        <v>697</v>
      </c>
      <c r="D319" s="328" t="s">
        <v>457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100</v>
      </c>
      <c r="L319" s="8">
        <f t="shared" si="24"/>
        <v>1337000</v>
      </c>
      <c r="M319" s="329"/>
    </row>
    <row r="320" spans="1:13" ht="18" customHeight="1">
      <c r="A320" s="325" t="str">
        <f t="shared" si="25"/>
        <v>NL</v>
      </c>
      <c r="B320" s="569">
        <f t="shared" si="26"/>
        <v>303</v>
      </c>
      <c r="C320" s="40" t="s">
        <v>698</v>
      </c>
      <c r="D320" s="328" t="s">
        <v>457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1000</v>
      </c>
      <c r="L320" s="8">
        <f t="shared" si="24"/>
        <v>10130000</v>
      </c>
      <c r="M320" s="329"/>
    </row>
    <row r="321" spans="1:13" ht="18" customHeight="1">
      <c r="A321" s="325" t="str">
        <f t="shared" si="25"/>
        <v>NL</v>
      </c>
      <c r="B321" s="569">
        <f t="shared" si="26"/>
        <v>304</v>
      </c>
      <c r="C321" s="40" t="s">
        <v>937</v>
      </c>
      <c r="D321" s="328" t="s">
        <v>457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550</v>
      </c>
      <c r="L321" s="8">
        <f t="shared" si="24"/>
        <v>5746895</v>
      </c>
      <c r="M321" s="329"/>
    </row>
    <row r="322" spans="1:13" ht="18" customHeight="1">
      <c r="A322" s="325" t="str">
        <f t="shared" si="25"/>
        <v>NL</v>
      </c>
      <c r="B322" s="569">
        <f t="shared" si="26"/>
        <v>305</v>
      </c>
      <c r="C322" s="40" t="s">
        <v>869</v>
      </c>
      <c r="D322" s="328" t="s">
        <v>457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450</v>
      </c>
      <c r="L322" s="8">
        <f t="shared" si="24"/>
        <v>4781700</v>
      </c>
      <c r="M322" s="329"/>
    </row>
    <row r="323" spans="1:13" ht="18" customHeight="1">
      <c r="A323" s="325" t="str">
        <f t="shared" si="25"/>
        <v>NL</v>
      </c>
      <c r="B323" s="569">
        <f t="shared" si="26"/>
        <v>306</v>
      </c>
      <c r="C323" s="40" t="s">
        <v>885</v>
      </c>
      <c r="D323" s="328" t="s">
        <v>457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500</v>
      </c>
      <c r="L323" s="8">
        <f t="shared" si="24"/>
        <v>6743550</v>
      </c>
      <c r="M323" s="329"/>
    </row>
    <row r="324" spans="1:13" ht="18" customHeight="1">
      <c r="A324" s="325" t="str">
        <f t="shared" si="25"/>
        <v>NL</v>
      </c>
      <c r="B324" s="569">
        <f t="shared" si="26"/>
        <v>307</v>
      </c>
      <c r="C324" s="40" t="s">
        <v>694</v>
      </c>
      <c r="D324" s="328" t="s">
        <v>457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250</v>
      </c>
      <c r="L324" s="8">
        <f t="shared" si="24"/>
        <v>6180000</v>
      </c>
      <c r="M324" s="329"/>
    </row>
    <row r="325" spans="1:13" ht="18" customHeight="1">
      <c r="A325" s="325" t="str">
        <f t="shared" si="25"/>
        <v>NL</v>
      </c>
      <c r="B325" s="569">
        <f t="shared" si="26"/>
        <v>308</v>
      </c>
      <c r="C325" s="40" t="s">
        <v>870</v>
      </c>
      <c r="D325" s="328" t="s">
        <v>457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150</v>
      </c>
      <c r="L325" s="8">
        <f t="shared" si="24"/>
        <v>2114100</v>
      </c>
      <c r="M325" s="329"/>
    </row>
    <row r="326" spans="1:13" ht="18" customHeight="1">
      <c r="A326" s="325" t="str">
        <f t="shared" si="25"/>
        <v>NL</v>
      </c>
      <c r="B326" s="569">
        <f t="shared" si="26"/>
        <v>309</v>
      </c>
      <c r="C326" s="40" t="s">
        <v>883</v>
      </c>
      <c r="D326" s="328" t="s">
        <v>457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180</v>
      </c>
      <c r="L326" s="8">
        <f t="shared" si="24"/>
        <v>2721600</v>
      </c>
      <c r="M326" s="329"/>
    </row>
    <row r="327" spans="1:13" ht="18" customHeight="1">
      <c r="A327" s="325" t="str">
        <f t="shared" si="25"/>
        <v>NL</v>
      </c>
      <c r="B327" s="569">
        <f t="shared" si="26"/>
        <v>310</v>
      </c>
      <c r="C327" s="40" t="s">
        <v>868</v>
      </c>
      <c r="D327" s="328" t="s">
        <v>457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300</v>
      </c>
      <c r="L327" s="8">
        <f t="shared" si="24"/>
        <v>2592000</v>
      </c>
      <c r="M327" s="329"/>
    </row>
    <row r="328" spans="1:13" ht="18" customHeight="1">
      <c r="A328" s="325" t="str">
        <f t="shared" si="25"/>
        <v>NL</v>
      </c>
      <c r="B328" s="569">
        <f t="shared" si="26"/>
        <v>311</v>
      </c>
      <c r="C328" s="40" t="s">
        <v>886</v>
      </c>
      <c r="D328" s="328" t="s">
        <v>457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500</v>
      </c>
      <c r="L328" s="8">
        <f t="shared" si="24"/>
        <v>3110400</v>
      </c>
      <c r="M328" s="329"/>
    </row>
    <row r="329" spans="1:13" ht="18" customHeight="1">
      <c r="A329" s="325" t="str">
        <f t="shared" si="25"/>
        <v>NL</v>
      </c>
      <c r="B329" s="569">
        <f t="shared" si="26"/>
        <v>312</v>
      </c>
      <c r="C329" s="40" t="s">
        <v>866</v>
      </c>
      <c r="D329" s="328" t="s">
        <v>457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300</v>
      </c>
      <c r="L329" s="8">
        <f t="shared" si="24"/>
        <v>3090600</v>
      </c>
      <c r="M329" s="329"/>
    </row>
    <row r="330" spans="1:13" ht="18" customHeight="1">
      <c r="A330" s="325" t="str">
        <f t="shared" si="25"/>
        <v>NL</v>
      </c>
      <c r="B330" s="569">
        <f t="shared" si="26"/>
        <v>313</v>
      </c>
      <c r="C330" s="40" t="s">
        <v>884</v>
      </c>
      <c r="D330" s="328" t="s">
        <v>457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100</v>
      </c>
      <c r="L330" s="8">
        <f t="shared" si="24"/>
        <v>1173000</v>
      </c>
      <c r="M330" s="329"/>
    </row>
    <row r="331" spans="1:13" ht="18" customHeight="1">
      <c r="A331" s="325" t="str">
        <f t="shared" si="25"/>
        <v>NL</v>
      </c>
      <c r="B331" s="569">
        <f t="shared" si="26"/>
        <v>314</v>
      </c>
      <c r="C331" s="203" t="s">
        <v>667</v>
      </c>
      <c r="D331" s="328" t="s">
        <v>457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80</v>
      </c>
      <c r="L331" s="8">
        <f t="shared" si="24"/>
        <v>1899840</v>
      </c>
      <c r="M331" s="329"/>
    </row>
    <row r="332" spans="1:13" ht="18" customHeight="1">
      <c r="A332" s="325" t="str">
        <f t="shared" si="25"/>
        <v>NL</v>
      </c>
      <c r="B332" s="569">
        <f t="shared" si="26"/>
        <v>315</v>
      </c>
      <c r="C332" s="40" t="s">
        <v>643</v>
      </c>
      <c r="D332" s="328" t="s">
        <v>457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50</v>
      </c>
      <c r="L332" s="8">
        <f t="shared" si="24"/>
        <v>808800</v>
      </c>
      <c r="M332" s="329"/>
    </row>
    <row r="333" spans="1:13" ht="18" customHeight="1">
      <c r="A333" s="325" t="str">
        <f t="shared" si="25"/>
        <v>NL</v>
      </c>
      <c r="B333" s="569">
        <f t="shared" si="26"/>
        <v>316</v>
      </c>
      <c r="C333" s="40" t="s">
        <v>936</v>
      </c>
      <c r="D333" s="328" t="s">
        <v>457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150</v>
      </c>
      <c r="L333" s="8">
        <f t="shared" si="24"/>
        <v>1785600</v>
      </c>
      <c r="M333" s="329"/>
    </row>
    <row r="334" spans="1:13" ht="18" customHeight="1">
      <c r="A334" s="325" t="str">
        <f t="shared" si="25"/>
        <v>NL</v>
      </c>
      <c r="B334" s="569">
        <f t="shared" si="26"/>
        <v>317</v>
      </c>
      <c r="C334" s="40" t="s">
        <v>935</v>
      </c>
      <c r="D334" s="328" t="s">
        <v>457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100</v>
      </c>
      <c r="L334" s="8">
        <f t="shared" si="24"/>
        <v>2108160</v>
      </c>
      <c r="M334" s="329"/>
    </row>
    <row r="335" spans="1:13" ht="18" customHeight="1">
      <c r="A335" s="325" t="str">
        <f t="shared" si="25"/>
        <v>NL</v>
      </c>
      <c r="B335" s="569">
        <f t="shared" si="26"/>
        <v>318</v>
      </c>
      <c r="C335" s="40" t="s">
        <v>888</v>
      </c>
      <c r="D335" s="328" t="s">
        <v>457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150</v>
      </c>
      <c r="L335" s="8">
        <f t="shared" si="24"/>
        <v>1428480</v>
      </c>
      <c r="M335" s="329"/>
    </row>
    <row r="336" spans="1:13" ht="18" customHeight="1">
      <c r="A336" s="325" t="str">
        <f t="shared" si="25"/>
        <v>NL</v>
      </c>
      <c r="B336" s="569">
        <f t="shared" si="26"/>
        <v>319</v>
      </c>
      <c r="C336" s="40" t="s">
        <v>887</v>
      </c>
      <c r="D336" s="328" t="s">
        <v>457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200</v>
      </c>
      <c r="L336" s="8">
        <f t="shared" si="24"/>
        <v>2211840</v>
      </c>
      <c r="M336" s="329"/>
    </row>
    <row r="337" spans="1:13" ht="18" customHeight="1">
      <c r="A337" s="325" t="str">
        <f t="shared" si="25"/>
        <v>NL</v>
      </c>
      <c r="B337" s="569">
        <f t="shared" si="26"/>
        <v>320</v>
      </c>
      <c r="C337" s="40" t="s">
        <v>933</v>
      </c>
      <c r="D337" s="328" t="s">
        <v>457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250</v>
      </c>
      <c r="L337" s="8">
        <f t="shared" si="24"/>
        <v>3617280</v>
      </c>
      <c r="M337" s="329"/>
    </row>
    <row r="338" spans="1:13" ht="18" customHeight="1">
      <c r="A338" s="325" t="str">
        <f t="shared" si="25"/>
        <v>NL</v>
      </c>
      <c r="B338" s="569">
        <f t="shared" si="26"/>
        <v>321</v>
      </c>
      <c r="C338" s="40" t="s">
        <v>1005</v>
      </c>
      <c r="D338" s="328" t="s">
        <v>457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630</v>
      </c>
      <c r="L338" s="8">
        <f t="shared" ref="L338:L347" si="28">F338+H338-J338</f>
        <v>6746040</v>
      </c>
      <c r="M338" s="329"/>
    </row>
    <row r="339" spans="1:13" ht="18" customHeight="1">
      <c r="A339" s="325" t="str">
        <f t="shared" ref="A339:A347" si="29">IF(B339&lt;&gt;"","NL","")</f>
        <v>NL</v>
      </c>
      <c r="B339" s="569">
        <f t="shared" ref="B339:B347" si="30">IF(C339&lt;&gt;"",B338+1,"")</f>
        <v>322</v>
      </c>
      <c r="C339" s="40" t="s">
        <v>995</v>
      </c>
      <c r="D339" s="328" t="s">
        <v>457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200</v>
      </c>
      <c r="L339" s="8">
        <f t="shared" si="28"/>
        <v>2036000</v>
      </c>
      <c r="M339" s="329"/>
    </row>
    <row r="340" spans="1:13" ht="18" customHeight="1">
      <c r="A340" s="325" t="str">
        <f t="shared" si="29"/>
        <v>NL</v>
      </c>
      <c r="B340" s="569">
        <f t="shared" si="30"/>
        <v>323</v>
      </c>
      <c r="C340" s="40" t="s">
        <v>994</v>
      </c>
      <c r="D340" s="328" t="s">
        <v>457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250</v>
      </c>
      <c r="L340" s="8">
        <f t="shared" si="28"/>
        <v>2419000</v>
      </c>
      <c r="M340" s="329"/>
    </row>
    <row r="341" spans="1:13" ht="18" customHeight="1">
      <c r="A341" s="325" t="str">
        <f t="shared" si="29"/>
        <v>NL</v>
      </c>
      <c r="B341" s="569">
        <f t="shared" si="30"/>
        <v>324</v>
      </c>
      <c r="C341" s="40" t="s">
        <v>993</v>
      </c>
      <c r="D341" s="328" t="s">
        <v>457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130</v>
      </c>
      <c r="L341" s="8">
        <f t="shared" si="28"/>
        <v>1739530</v>
      </c>
      <c r="M341" s="329"/>
    </row>
    <row r="342" spans="1:13" ht="18" customHeight="1">
      <c r="A342" s="325" t="str">
        <f t="shared" si="29"/>
        <v>NL</v>
      </c>
      <c r="B342" s="569">
        <f t="shared" si="30"/>
        <v>325</v>
      </c>
      <c r="C342" s="40" t="s">
        <v>990</v>
      </c>
      <c r="D342" s="328" t="s">
        <v>457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120</v>
      </c>
      <c r="L342" s="8">
        <f t="shared" si="28"/>
        <v>1687320</v>
      </c>
      <c r="M342" s="329"/>
    </row>
    <row r="343" spans="1:13" ht="18" customHeight="1">
      <c r="A343" s="325" t="str">
        <f t="shared" si="29"/>
        <v>NL</v>
      </c>
      <c r="B343" s="569">
        <f t="shared" si="30"/>
        <v>326</v>
      </c>
      <c r="C343" s="40" t="s">
        <v>894</v>
      </c>
      <c r="D343" s="328" t="s">
        <v>457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600</v>
      </c>
      <c r="L343" s="8">
        <f t="shared" si="28"/>
        <v>7239600</v>
      </c>
      <c r="M343" s="329"/>
    </row>
    <row r="344" spans="1:13" ht="18" customHeight="1">
      <c r="A344" s="325" t="str">
        <f t="shared" si="29"/>
        <v>NL</v>
      </c>
      <c r="B344" s="569">
        <f t="shared" si="30"/>
        <v>327</v>
      </c>
      <c r="C344" s="40" t="s">
        <v>891</v>
      </c>
      <c r="D344" s="328" t="s">
        <v>457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600</v>
      </c>
      <c r="L344" s="8">
        <f t="shared" si="28"/>
        <v>5358000</v>
      </c>
      <c r="M344" s="329"/>
    </row>
    <row r="345" spans="1:13" ht="18" customHeight="1">
      <c r="A345" s="325" t="str">
        <f t="shared" si="29"/>
        <v>NL</v>
      </c>
      <c r="B345" s="569">
        <f t="shared" si="30"/>
        <v>328</v>
      </c>
      <c r="C345" s="40" t="s">
        <v>1030</v>
      </c>
      <c r="D345" s="328" t="s">
        <v>1127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500</v>
      </c>
      <c r="L345" s="8">
        <f t="shared" si="28"/>
        <v>5431500</v>
      </c>
      <c r="M345" s="329"/>
    </row>
    <row r="346" spans="1:13" ht="18" customHeight="1">
      <c r="A346" s="325" t="str">
        <f t="shared" si="29"/>
        <v>NL</v>
      </c>
      <c r="B346" s="569">
        <f t="shared" si="30"/>
        <v>329</v>
      </c>
      <c r="C346" s="40" t="s">
        <v>1028</v>
      </c>
      <c r="D346" s="328" t="s">
        <v>1127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500</v>
      </c>
      <c r="L346" s="8">
        <f t="shared" si="28"/>
        <v>6562500</v>
      </c>
      <c r="M346" s="329"/>
    </row>
    <row r="347" spans="1:13" ht="18" customHeight="1">
      <c r="A347" s="325" t="str">
        <f t="shared" si="29"/>
        <v>NL</v>
      </c>
      <c r="B347" s="569">
        <f t="shared" si="30"/>
        <v>330</v>
      </c>
      <c r="C347" s="40" t="s">
        <v>1031</v>
      </c>
      <c r="D347" s="328" t="s">
        <v>1127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1000</v>
      </c>
      <c r="L347" s="8">
        <f t="shared" si="28"/>
        <v>4600000</v>
      </c>
      <c r="M347" s="329"/>
    </row>
    <row r="348" spans="1:13" ht="19.5" customHeight="1">
      <c r="A348" s="325" t="str">
        <f t="shared" ref="A348" si="31">IF(B348&lt;&gt;"","NL","")</f>
        <v/>
      </c>
      <c r="B348" s="569" t="str">
        <f>IF(C348&lt;&gt;"",#REF!+1,"")</f>
        <v/>
      </c>
      <c r="C348" s="336"/>
      <c r="D348" s="337"/>
      <c r="E348" s="338"/>
      <c r="F348" s="338"/>
      <c r="G348" s="338"/>
      <c r="H348" s="338"/>
      <c r="I348" s="338"/>
      <c r="J348" s="338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5" t="s">
        <v>419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148084</v>
      </c>
      <c r="H349" s="13">
        <f t="shared" si="33"/>
        <v>2465538784</v>
      </c>
      <c r="I349" s="13">
        <f t="shared" si="33"/>
        <v>0</v>
      </c>
      <c r="J349" s="13">
        <f t="shared" si="33"/>
        <v>0</v>
      </c>
      <c r="K349" s="13">
        <f t="shared" si="33"/>
        <v>148084</v>
      </c>
      <c r="L349" s="13">
        <f t="shared" si="33"/>
        <v>2465538784</v>
      </c>
      <c r="M349" s="329"/>
    </row>
    <row r="350" spans="1:13" ht="19.5" customHeight="1">
      <c r="A350" s="325"/>
      <c r="B350" s="570"/>
      <c r="C350" s="571"/>
      <c r="D350" s="570"/>
      <c r="E350" s="572">
        <f>F349-F350</f>
        <v>0</v>
      </c>
      <c r="F350" s="572">
        <f>CDPS!C20</f>
        <v>0</v>
      </c>
      <c r="G350" s="572">
        <f>H349-H350</f>
        <v>0</v>
      </c>
      <c r="H350" s="572">
        <f>CDPS!E20</f>
        <v>2465538784</v>
      </c>
      <c r="I350" s="572">
        <f>J349-J350</f>
        <v>0</v>
      </c>
      <c r="J350" s="572">
        <f>CDPS!F20</f>
        <v>0</v>
      </c>
      <c r="K350" s="572">
        <f>L349-L350</f>
        <v>0</v>
      </c>
      <c r="L350" s="572">
        <f>CDPS!G20</f>
        <v>2465538784</v>
      </c>
      <c r="M350" s="329"/>
    </row>
    <row r="351" spans="1:13" ht="19.5" customHeight="1">
      <c r="A351" s="325" t="str">
        <f>IF(B351&lt;&gt;"","TP","")</f>
        <v/>
      </c>
      <c r="B351" s="339" t="str">
        <f>IF(C351&lt;&gt;"",ROW()-(ROW()-1),"")</f>
        <v/>
      </c>
      <c r="C351" s="327"/>
      <c r="D351" s="340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1" t="str">
        <f>IF(C352&lt;&gt;"",B351+1,"")</f>
        <v/>
      </c>
      <c r="C352" s="330"/>
      <c r="D352" s="340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1" t="str">
        <f t="shared" ref="B353:B358" si="36">IF(C353&lt;&gt;"",B352+1,"")</f>
        <v/>
      </c>
      <c r="C353" s="330"/>
      <c r="D353" s="340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1" t="str">
        <f t="shared" si="36"/>
        <v/>
      </c>
      <c r="C354" s="330"/>
      <c r="D354" s="340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1" t="str">
        <f t="shared" si="36"/>
        <v/>
      </c>
      <c r="C355" s="330"/>
      <c r="D355" s="340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1" t="str">
        <f t="shared" si="36"/>
        <v/>
      </c>
      <c r="C356" s="330"/>
      <c r="D356" s="340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1" t="str">
        <f t="shared" si="36"/>
        <v/>
      </c>
      <c r="C357" s="330"/>
      <c r="D357" s="340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1" t="str">
        <f t="shared" si="36"/>
        <v/>
      </c>
      <c r="C358" s="330"/>
      <c r="D358" s="340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1" t="str">
        <f>IF(C359&lt;&gt;"",#REF!+1,"")</f>
        <v/>
      </c>
      <c r="C359" s="343"/>
      <c r="D359" s="337"/>
      <c r="E359" s="8"/>
      <c r="F359" s="8"/>
      <c r="G359" s="338"/>
      <c r="H359" s="338"/>
      <c r="I359" s="338"/>
      <c r="J359" s="338"/>
      <c r="K359" s="338"/>
      <c r="L359" s="338"/>
      <c r="M359" s="329"/>
    </row>
    <row r="360" spans="1:13" ht="19.5" customHeight="1">
      <c r="A360" s="325" t="str">
        <f t="shared" si="35"/>
        <v/>
      </c>
      <c r="B360" s="323"/>
      <c r="C360" s="335" t="s">
        <v>241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571"/>
      <c r="C361" s="571"/>
      <c r="D361" s="570"/>
      <c r="E361" s="572">
        <f>F360-F361</f>
        <v>0</v>
      </c>
      <c r="F361" s="572">
        <f>CDPS!C25</f>
        <v>0</v>
      </c>
      <c r="G361" s="572">
        <f>H360-H361</f>
        <v>0</v>
      </c>
      <c r="H361" s="572">
        <f>CDPS!E25</f>
        <v>0</v>
      </c>
      <c r="I361" s="572">
        <f>J360-J361</f>
        <v>0</v>
      </c>
      <c r="J361" s="572">
        <f>CDPS!F25</f>
        <v>0</v>
      </c>
      <c r="K361" s="572">
        <f>L360-L361</f>
        <v>0</v>
      </c>
      <c r="L361" s="572">
        <f>CDPS!G25</f>
        <v>0</v>
      </c>
      <c r="M361" s="342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54"/>
      <c r="D364" s="1054"/>
      <c r="E364" s="1054"/>
      <c r="F364" s="345"/>
      <c r="G364" s="345"/>
      <c r="H364" s="345"/>
      <c r="I364" s="345"/>
      <c r="J364" s="1054" t="s">
        <v>1129</v>
      </c>
      <c r="K364" s="1054"/>
      <c r="L364" s="1054"/>
      <c r="M364" s="318"/>
    </row>
    <row r="365" spans="1:13" ht="19.5" customHeight="1">
      <c r="C365" s="346" t="s">
        <v>11</v>
      </c>
      <c r="D365" s="346"/>
      <c r="E365" s="346"/>
      <c r="F365" s="1054" t="s">
        <v>12</v>
      </c>
      <c r="G365" s="1054"/>
      <c r="H365" s="1054"/>
      <c r="I365" s="345"/>
      <c r="J365" s="1054" t="s">
        <v>113</v>
      </c>
      <c r="K365" s="1054"/>
      <c r="L365" s="1054"/>
      <c r="M365" s="318"/>
    </row>
    <row r="366" spans="1:13" ht="19.5" customHeight="1">
      <c r="C366" s="346" t="s">
        <v>13</v>
      </c>
      <c r="D366" s="346" t="s">
        <v>243</v>
      </c>
      <c r="E366" s="346"/>
      <c r="F366" s="1054" t="s">
        <v>13</v>
      </c>
      <c r="G366" s="1054"/>
      <c r="H366" s="1054"/>
      <c r="I366" s="318"/>
      <c r="J366" s="1054" t="s">
        <v>143</v>
      </c>
      <c r="K366" s="1054"/>
      <c r="L366" s="1054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C7:L7"/>
    <mergeCell ref="F366:H366"/>
    <mergeCell ref="J366:L366"/>
    <mergeCell ref="C364:E364"/>
    <mergeCell ref="J364:L364"/>
    <mergeCell ref="F365:H365"/>
    <mergeCell ref="J365:L36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7" customWidth="1"/>
    <col min="2" max="2" width="29.7109375" style="347" customWidth="1"/>
    <col min="3" max="3" width="5.7109375" style="347" customWidth="1"/>
    <col min="4" max="4" width="6.7109375" style="347" customWidth="1"/>
    <col min="5" max="5" width="12.7109375" style="347" customWidth="1"/>
    <col min="6" max="6" width="9.85546875" style="347" customWidth="1"/>
    <col min="7" max="7" width="11" style="347" customWidth="1"/>
    <col min="8" max="8" width="14" style="347" customWidth="1"/>
    <col min="9" max="9" width="4.28515625" style="347" customWidth="1"/>
    <col min="10" max="10" width="7.7109375" style="347" customWidth="1"/>
    <col min="11" max="11" width="3.140625" style="347" customWidth="1"/>
    <col min="12" max="12" width="5.7109375" style="347" customWidth="1"/>
    <col min="13" max="13" width="2.7109375" style="347" customWidth="1"/>
    <col min="14" max="14" width="4" style="347" customWidth="1"/>
    <col min="15" max="15" width="3.7109375" style="347" customWidth="1"/>
    <col min="16" max="16384" width="9.140625" style="347"/>
  </cols>
  <sheetData>
    <row r="1" spans="1:17" ht="5.25" hidden="1" customHeight="1"/>
    <row r="2" spans="1:17" s="853" customFormat="1" ht="12" customHeight="1">
      <c r="A2" s="852" t="str">
        <f>TH!A1</f>
        <v>Đơn vị: CÔNG TY TNHH HẢI SẢN AN LẠC</v>
      </c>
      <c r="G2" s="854" t="str">
        <f>+IF(LEFT($D$7,1)="N","Mẫu số 01 - VT","Mẫu số 02 - VT")</f>
        <v>Mẫu số 02 - VT</v>
      </c>
    </row>
    <row r="3" spans="1:17" s="853" customFormat="1" ht="12" customHeight="1">
      <c r="A3" s="855" t="str">
        <f>TH!A2</f>
        <v>Địa chỉ: Lô A14, Đường 4A, KCN Hải Sơn, Đức Hòa, Long An</v>
      </c>
      <c r="G3" s="856" t="s">
        <v>227</v>
      </c>
      <c r="N3" s="854" t="s">
        <v>108</v>
      </c>
      <c r="O3" s="857"/>
      <c r="P3" s="858">
        <f>IF(J5="Quý I",1,IF(J5="Quý II",4,IF(J5="Quý III",7,IF(J5="Quý IV",10,""))))</f>
        <v>7</v>
      </c>
      <c r="Q3" s="858">
        <f>IF(J5="Quý I",3,IF(J5="Quý II",6,IF(J5="Quý III",9,IF(J5="Quý IV",12,""))))</f>
        <v>9</v>
      </c>
    </row>
    <row r="4" spans="1:17" s="853" customFormat="1" ht="12" customHeight="1" thickBot="1">
      <c r="G4" s="856" t="s">
        <v>172</v>
      </c>
      <c r="J4" s="859"/>
      <c r="M4" s="860"/>
      <c r="N4" s="854" t="s">
        <v>109</v>
      </c>
      <c r="O4" s="857"/>
    </row>
    <row r="5" spans="1:17" ht="18" customHeight="1" thickBot="1">
      <c r="D5" s="351" t="str">
        <f>+IF(LEFT($L$5,1)="N","PHIẾU NHẬP KHO","PHIẾU XUẤT KHO")</f>
        <v>PHIẾU NHẬP KHO</v>
      </c>
      <c r="J5" s="849" t="s">
        <v>1126</v>
      </c>
      <c r="K5" s="352"/>
      <c r="L5" s="850" t="s">
        <v>1128</v>
      </c>
      <c r="M5" s="353"/>
      <c r="N5" s="851">
        <v>2</v>
      </c>
      <c r="O5" s="348"/>
      <c r="P5" s="348"/>
    </row>
    <row r="6" spans="1:17" ht="12" customHeight="1">
      <c r="D6" s="86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863"/>
      <c r="M6" s="350"/>
      <c r="O6" s="348"/>
    </row>
    <row r="7" spans="1:17" ht="12" customHeight="1">
      <c r="C7" s="864" t="str">
        <f xml:space="preserve"> "Số:"</f>
        <v>Số:</v>
      </c>
      <c r="D7" s="865" t="str">
        <f xml:space="preserve"> RIGHT($L$5,2)&amp;"/"&amp;LEFT($L$5,1)&amp;IF($N$5&gt;=10,$N$5,"0"&amp;$N$5)</f>
        <v>VL/N02</v>
      </c>
      <c r="G7" s="347" t="str">
        <f ca="1">"Nợ:  "&amp;IF(ROWS($1:1)&gt;COUNT(Dong10),"",OFFSET(TH!L$1,SMALL(Dong10,ROWS($1:1)),))</f>
        <v>Nợ:  1522</v>
      </c>
      <c r="M7" s="350"/>
      <c r="O7" s="348"/>
    </row>
    <row r="8" spans="1:17" ht="12" customHeight="1">
      <c r="D8" s="74"/>
      <c r="G8" s="347" t="str">
        <f ca="1">"Có:  "&amp;IF(ROWS($1:1)&gt;COUNT(Dong10),"",OFFSET(TH!M$1,SMALL(Dong10,ROWS($1:1)),))</f>
        <v>Có:  331</v>
      </c>
      <c r="M8" s="350"/>
      <c r="O8" s="866"/>
    </row>
    <row r="9" spans="1:17" ht="12" customHeight="1">
      <c r="A9" s="3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0"/>
    </row>
    <row r="10" spans="1:17" ht="11.25" customHeight="1">
      <c r="A10" s="347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7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55" t="s">
        <v>35</v>
      </c>
      <c r="B14" s="1055" t="s">
        <v>244</v>
      </c>
      <c r="C14" s="1055" t="s">
        <v>245</v>
      </c>
      <c r="D14" s="1055" t="s">
        <v>234</v>
      </c>
      <c r="E14" s="1057" t="s">
        <v>246</v>
      </c>
      <c r="F14" s="1057"/>
      <c r="G14" s="1055" t="s">
        <v>247</v>
      </c>
      <c r="H14" s="1055" t="s">
        <v>248</v>
      </c>
    </row>
    <row r="15" spans="1:17" ht="13.5" customHeight="1">
      <c r="A15" s="1056"/>
      <c r="B15" s="1056"/>
      <c r="C15" s="1056"/>
      <c r="D15" s="1056"/>
      <c r="E15" s="867" t="s">
        <v>249</v>
      </c>
      <c r="F15" s="867" t="str">
        <f>IF(LEFT($D$7,1)="N","Thực nhập","Thực xuất")</f>
        <v>Thực xuất</v>
      </c>
      <c r="G15" s="1056"/>
      <c r="H15" s="1056"/>
    </row>
    <row r="16" spans="1:17" s="74" customFormat="1" ht="8.25" customHeight="1">
      <c r="A16" s="868" t="s">
        <v>2</v>
      </c>
      <c r="B16" s="868" t="s">
        <v>3</v>
      </c>
      <c r="C16" s="868" t="s">
        <v>4</v>
      </c>
      <c r="D16" s="868" t="s">
        <v>5</v>
      </c>
      <c r="E16" s="868">
        <v>1</v>
      </c>
      <c r="F16" s="868">
        <v>2</v>
      </c>
      <c r="G16" s="868">
        <v>3</v>
      </c>
      <c r="H16" s="868">
        <v>4</v>
      </c>
    </row>
    <row r="17" spans="1:8" ht="11.25" customHeight="1">
      <c r="A17" s="869">
        <f ca="1">IF(B17="","",ROW()-16)</f>
        <v>1</v>
      </c>
      <c r="B17" s="870" t="str">
        <f ca="1">IF(ROWS($1:1)&gt;COUNT(Dong10),"",OFFSET(TH!F$1,SMALL(Dong10,ROWS($1:1)),))</f>
        <v>Kẽm đóng bao bì</v>
      </c>
      <c r="C17" s="871"/>
      <c r="D17" s="872" t="str">
        <f ca="1">IF(ISNA(VLOOKUP(B17,NXT!$C$12:$D$359,2,0)),"",VLOOKUP(B17,NXT!$C$12:$D$359,2,0))</f>
        <v>kg</v>
      </c>
      <c r="E17" s="873"/>
      <c r="F17" s="874">
        <f ca="1">IF(ROWS($1:1)&gt;COUNT(Dong10),"",OFFSET(TH!I$1,SMALL(Dong10,ROWS($1:1)),))</f>
        <v>100</v>
      </c>
      <c r="G17" s="875">
        <f ca="1">IF(ROWS($1:1)&gt;COUNT(Dong10),"",OFFSET(TH!J$1,SMALL(Dong10,ROWS($1:1)),))</f>
        <v>25000</v>
      </c>
      <c r="H17" s="873">
        <f t="shared" ref="H17:H20" ca="1" si="0">IF(F17&lt;&gt;"",ROUND(F17*G17,0),"")</f>
        <v>2500000</v>
      </c>
    </row>
    <row r="18" spans="1:8" ht="11.25" customHeight="1">
      <c r="A18" s="869" t="str">
        <f t="shared" ref="A18:A20" ca="1" si="1">IF(B18="","",A17+1)</f>
        <v/>
      </c>
      <c r="B18" s="870" t="str">
        <f ca="1">IF(ROWS($1:2)&gt;COUNT(Dong10),"",OFFSET(TH!F$1,SMALL(Dong10,ROWS($1:2)),))</f>
        <v/>
      </c>
      <c r="C18" s="871"/>
      <c r="D18" s="872" t="str">
        <f ca="1">IF(ISNA(VLOOKUP(B18,NXT!$C$12:$D$359,2,0)),"",VLOOKUP(B18,NXT!$C$12:$D$359,2,0))</f>
        <v/>
      </c>
      <c r="E18" s="873"/>
      <c r="F18" s="874" t="str">
        <f ca="1">IF(ROWS($1:2)&gt;COUNT(Dong10),"",OFFSET(TH!I$1,SMALL(Dong10,ROWS($1:2)),))</f>
        <v/>
      </c>
      <c r="G18" s="875" t="str">
        <f ca="1">IF(ROWS($1:2)&gt;COUNT(Dong10),"",OFFSET(TH!J$1,SMALL(Dong10,ROWS($1:2)),))</f>
        <v/>
      </c>
      <c r="H18" s="873" t="str">
        <f t="shared" ca="1" si="0"/>
        <v/>
      </c>
    </row>
    <row r="19" spans="1:8" ht="11.25" customHeight="1">
      <c r="A19" s="869" t="str">
        <f t="shared" ca="1" si="1"/>
        <v/>
      </c>
      <c r="B19" s="870" t="str">
        <f ca="1">IF(ROWS($1:3)&gt;COUNT(Dong10),"",OFFSET(TH!F$1,SMALL(Dong10,ROWS($1:3)),))</f>
        <v/>
      </c>
      <c r="C19" s="871"/>
      <c r="D19" s="872" t="str">
        <f ca="1">IF(ISNA(VLOOKUP(B19,NXT!$C$12:$D$359,2,0)),"",VLOOKUP(B19,NXT!$C$12:$D$359,2,0))</f>
        <v/>
      </c>
      <c r="E19" s="873"/>
      <c r="F19" s="874" t="str">
        <f ca="1">IF(ROWS($1:3)&gt;COUNT(Dong10),"",OFFSET(TH!I$1,SMALL(Dong10,ROWS($1:3)),))</f>
        <v/>
      </c>
      <c r="G19" s="875" t="str">
        <f ca="1">IF(ROWS($1:3)&gt;COUNT(Dong10),"",OFFSET(TH!J$1,SMALL(Dong10,ROWS($1:3)),))</f>
        <v/>
      </c>
      <c r="H19" s="873" t="str">
        <f t="shared" ca="1" si="0"/>
        <v/>
      </c>
    </row>
    <row r="20" spans="1:8" ht="11.25" customHeight="1">
      <c r="A20" s="869" t="str">
        <f t="shared" ca="1" si="1"/>
        <v/>
      </c>
      <c r="B20" s="870" t="str">
        <f ca="1">IF(ROWS($1:4)&gt;COUNT(Dong10),"",OFFSET(TH!F$1,SMALL(Dong10,ROWS($1:4)),))</f>
        <v/>
      </c>
      <c r="C20" s="871"/>
      <c r="D20" s="872" t="str">
        <f ca="1">IF(ISNA(VLOOKUP(B20,NXT!$C$12:$D$359,2,0)),"",VLOOKUP(B20,NXT!$C$12:$D$359,2,0))</f>
        <v/>
      </c>
      <c r="E20" s="873"/>
      <c r="F20" s="874" t="str">
        <f ca="1">IF(ROWS($1:4)&gt;COUNT(Dong10),"",OFFSET(TH!I$1,SMALL(Dong10,ROWS($1:4)),))</f>
        <v/>
      </c>
      <c r="G20" s="875" t="str">
        <f ca="1">IF(ROWS($1:4)&gt;COUNT(Dong10),"",OFFSET(TH!J$1,SMALL(Dong10,ROWS($1:4)),))</f>
        <v/>
      </c>
      <c r="H20" s="873" t="str">
        <f t="shared" ca="1" si="0"/>
        <v/>
      </c>
    </row>
    <row r="21" spans="1:8" ht="11.25" customHeight="1">
      <c r="A21" s="869" t="str">
        <f t="shared" ref="A21:A24" ca="1" si="2">IF(B21="","",A20+1)</f>
        <v/>
      </c>
      <c r="B21" s="870" t="str">
        <f ca="1">IF(ROWS($1:5)&gt;COUNT(Dong10),"",OFFSET(TH!F$1,SMALL(Dong10,ROWS($1:5)),))</f>
        <v/>
      </c>
      <c r="C21" s="871"/>
      <c r="D21" s="872" t="str">
        <f ca="1">IF(ISNA(VLOOKUP(B21,NXT!$C$12:$D$359,2,0)),"",VLOOKUP(B21,NXT!$C$12:$D$359,2,0))</f>
        <v/>
      </c>
      <c r="E21" s="873"/>
      <c r="F21" s="874" t="str">
        <f ca="1">IF(ROWS($1:5)&gt;COUNT(Dong10),"",OFFSET(TH!I$1,SMALL(Dong10,ROWS($1:5)),))</f>
        <v/>
      </c>
      <c r="G21" s="875" t="str">
        <f ca="1">IF(ROWS($1:5)&gt;COUNT(Dong10),"",OFFSET(TH!J$1,SMALL(Dong10,ROWS($1:5)),))</f>
        <v/>
      </c>
      <c r="H21" s="873" t="str">
        <f t="shared" ref="H21:H24" ca="1" si="3">IF(F21&lt;&gt;"",ROUND(F21*G21,0),"")</f>
        <v/>
      </c>
    </row>
    <row r="22" spans="1:8" ht="11.25" customHeight="1">
      <c r="A22" s="869" t="str">
        <f t="shared" ca="1" si="2"/>
        <v/>
      </c>
      <c r="B22" s="870" t="str">
        <f ca="1">IF(ROWS($1:6)&gt;COUNT(Dong10),"",OFFSET(TH!F$1,SMALL(Dong10,ROWS($1:6)),))</f>
        <v/>
      </c>
      <c r="C22" s="871"/>
      <c r="D22" s="872" t="str">
        <f ca="1">IF(ISNA(VLOOKUP(B22,NXT!$C$12:$D$359,2,0)),"",VLOOKUP(B22,NXT!$C$12:$D$359,2,0))</f>
        <v/>
      </c>
      <c r="E22" s="873"/>
      <c r="F22" s="874" t="str">
        <f ca="1">IF(ROWS($1:6)&gt;COUNT(Dong10),"",OFFSET(TH!I$1,SMALL(Dong10,ROWS($1:6)),))</f>
        <v/>
      </c>
      <c r="G22" s="875" t="str">
        <f ca="1">IF(ROWS($1:6)&gt;COUNT(Dong10),"",OFFSET(TH!J$1,SMALL(Dong10,ROWS($1:6)),))</f>
        <v/>
      </c>
      <c r="H22" s="873" t="str">
        <f t="shared" ca="1" si="3"/>
        <v/>
      </c>
    </row>
    <row r="23" spans="1:8" ht="11.25" customHeight="1">
      <c r="A23" s="869" t="str">
        <f t="shared" ca="1" si="2"/>
        <v/>
      </c>
      <c r="B23" s="870" t="str">
        <f ca="1">IF(ROWS($1:7)&gt;COUNT(Dong10),"",OFFSET(TH!F$1,SMALL(Dong10,ROWS($1:7)),))</f>
        <v/>
      </c>
      <c r="C23" s="871"/>
      <c r="D23" s="872" t="str">
        <f ca="1">IF(ISNA(VLOOKUP(B23,NXT!$C$12:$D$359,2,0)),"",VLOOKUP(B23,NXT!$C$12:$D$359,2,0))</f>
        <v/>
      </c>
      <c r="E23" s="873"/>
      <c r="F23" s="874" t="str">
        <f ca="1">IF(ROWS($1:7)&gt;COUNT(Dong10),"",OFFSET(TH!I$1,SMALL(Dong10,ROWS($1:7)),))</f>
        <v/>
      </c>
      <c r="G23" s="875" t="str">
        <f ca="1">IF(ROWS($1:7)&gt;COUNT(Dong10),"",OFFSET(TH!J$1,SMALL(Dong10,ROWS($1:7)),))</f>
        <v/>
      </c>
      <c r="H23" s="873" t="str">
        <f t="shared" ca="1" si="3"/>
        <v/>
      </c>
    </row>
    <row r="24" spans="1:8" ht="11.25" customHeight="1">
      <c r="A24" s="869" t="str">
        <f t="shared" ca="1" si="2"/>
        <v/>
      </c>
      <c r="B24" s="870" t="str">
        <f ca="1">IF(ROWS($1:8)&gt;COUNT(Dong10),"",OFFSET(TH!F$1,SMALL(Dong10,ROWS($1:8)),))</f>
        <v/>
      </c>
      <c r="C24" s="871"/>
      <c r="D24" s="872" t="str">
        <f ca="1">IF(ISNA(VLOOKUP(B24,NXT!$C$12:$D$359,2,0)),"",VLOOKUP(B24,NXT!$C$12:$D$359,2,0))</f>
        <v/>
      </c>
      <c r="E24" s="873"/>
      <c r="F24" s="874" t="str">
        <f ca="1">IF(ROWS($1:8)&gt;COUNT(Dong10),"",OFFSET(TH!I$1,SMALL(Dong10,ROWS($1:8)),))</f>
        <v/>
      </c>
      <c r="G24" s="875" t="str">
        <f ca="1">IF(ROWS($1:8)&gt;COUNT(Dong10),"",OFFSET(TH!J$1,SMALL(Dong10,ROWS($1:8)),))</f>
        <v/>
      </c>
      <c r="H24" s="873" t="str">
        <f t="shared" ca="1" si="3"/>
        <v/>
      </c>
    </row>
    <row r="25" spans="1:8" ht="11.25" customHeight="1">
      <c r="A25" s="869" t="str">
        <f t="shared" ref="A25" ca="1" si="4">IF(B25="","",A24+1)</f>
        <v/>
      </c>
      <c r="B25" s="870" t="str">
        <f ca="1">IF(ROWS($1:9)&gt;COUNT(Dong10),"",OFFSET(TH!F$1,SMALL(Dong10,ROWS($1:9)),))</f>
        <v/>
      </c>
      <c r="C25" s="871"/>
      <c r="D25" s="872" t="str">
        <f ca="1">IF(ISNA(VLOOKUP(B25,NXT!$C$12:$D$359,2,0)),"",VLOOKUP(B25,NXT!$C$12:$D$359,2,0))</f>
        <v/>
      </c>
      <c r="E25" s="873"/>
      <c r="F25" s="874" t="str">
        <f ca="1">IF(ROWS($1:9)&gt;COUNT(Dong10),"",OFFSET(TH!I$1,SMALL(Dong10,ROWS($1:9)),))</f>
        <v/>
      </c>
      <c r="G25" s="875" t="str">
        <f ca="1">IF(ROWS($1:9)&gt;COUNT(Dong10),"",OFFSET(TH!J$1,SMALL(Dong10,ROWS($1:9)),))</f>
        <v/>
      </c>
      <c r="H25" s="873" t="str">
        <f t="shared" ref="H25:H26" ca="1" si="5">IF(F25&lt;&gt;"",ROUND(F25*G25,0),"")</f>
        <v/>
      </c>
    </row>
    <row r="26" spans="1:8" ht="11.25" customHeight="1">
      <c r="A26" s="869" t="str">
        <f ca="1">IF(B26="","",#REF!+1)</f>
        <v/>
      </c>
      <c r="B26" s="870" t="str">
        <f ca="1">IF(ROWS($1:11)&gt;COUNT(Dong10),"",OFFSET(TH!F$1,SMALL(Dong10,ROWS($1:11)),))</f>
        <v/>
      </c>
      <c r="C26" s="871"/>
      <c r="D26" s="872" t="str">
        <f ca="1">IF(ISNA(VLOOKUP(B26,NXT!$C$12:$D$359,2,0)),"",VLOOKUP(B26,NXT!$C$12:$D$359,2,0))</f>
        <v/>
      </c>
      <c r="E26" s="873"/>
      <c r="F26" s="874" t="str">
        <f ca="1">IF(ROWS($1:11)&gt;COUNT(Dong10),"",OFFSET(TH!I$1,SMALL(Dong10,ROWS($1:11)),))</f>
        <v/>
      </c>
      <c r="G26" s="875" t="str">
        <f ca="1">IF(ROWS($1:11)&gt;COUNT(Dong10),"",OFFSET(TH!J$1,SMALL(Dong10,ROWS($1:11)),))</f>
        <v/>
      </c>
      <c r="H26" s="873" t="str">
        <f t="shared" ca="1" si="5"/>
        <v/>
      </c>
    </row>
    <row r="27" spans="1:8" ht="11.25" customHeight="1">
      <c r="A27" s="1057" t="s">
        <v>250</v>
      </c>
      <c r="B27" s="1057"/>
      <c r="C27" s="876"/>
      <c r="D27" s="876"/>
      <c r="E27" s="877"/>
      <c r="F27" s="877"/>
      <c r="G27" s="877"/>
      <c r="H27" s="877">
        <f ca="1">SUM(H17:H26)</f>
        <v>2500000</v>
      </c>
    </row>
    <row r="28" spans="1:8" ht="3" customHeight="1">
      <c r="A28" s="878"/>
      <c r="B28" s="878"/>
      <c r="C28" s="350"/>
      <c r="D28" s="350"/>
      <c r="E28" s="879"/>
      <c r="F28" s="879"/>
      <c r="G28" s="879"/>
      <c r="H28" s="879"/>
    </row>
    <row r="29" spans="1:8" ht="12.75" customHeight="1">
      <c r="A29" s="347" t="e">
        <f ca="1">"Tổng số tiền (viết bằng chữ):  "&amp; [1]!VND(H27, TRUE)</f>
        <v>#NAME?</v>
      </c>
    </row>
    <row r="30" spans="1:8" ht="12" customHeight="1">
      <c r="A30" s="347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49" customFormat="1" ht="12" customHeight="1">
      <c r="A32" s="880" t="s">
        <v>251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865" t="s">
        <v>252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865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861" customFormat="1" ht="11.25" customHeight="1"/>
    <row r="39" spans="1:8" ht="11.25" customHeight="1">
      <c r="A39" s="355" t="s">
        <v>542</v>
      </c>
      <c r="F39" s="35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8" customWidth="1"/>
    <col min="2" max="2" width="8.5703125" style="358" customWidth="1"/>
    <col min="3" max="3" width="11" style="358" customWidth="1"/>
    <col min="4" max="4" width="41.7109375" style="358" customWidth="1"/>
    <col min="5" max="5" width="8" style="371" customWidth="1"/>
    <col min="6" max="6" width="8.85546875" style="358" customWidth="1"/>
    <col min="7" max="7" width="9" style="358" customWidth="1"/>
    <col min="8" max="8" width="14.140625" style="358" customWidth="1"/>
    <col min="9" max="9" width="8.85546875" style="358" customWidth="1"/>
    <col min="10" max="10" width="13.42578125" style="358" customWidth="1"/>
    <col min="11" max="11" width="10.140625" style="358" customWidth="1"/>
    <col min="12" max="12" width="13" style="358" customWidth="1"/>
    <col min="13" max="13" width="7.140625" style="358" customWidth="1"/>
    <col min="14" max="14" width="2" style="358" customWidth="1"/>
    <col min="15" max="15" width="5.5703125" style="358" customWidth="1"/>
    <col min="16" max="16" width="4.42578125" style="358" customWidth="1"/>
    <col min="17" max="16384" width="23.85546875" style="358"/>
  </cols>
  <sheetData>
    <row r="1" spans="1:17">
      <c r="A1" s="357" t="s">
        <v>253</v>
      </c>
      <c r="E1" s="358"/>
      <c r="O1" s="359"/>
    </row>
    <row r="2" spans="1:17" s="284" customFormat="1" ht="16.5" customHeight="1">
      <c r="B2" s="360" t="str">
        <f>TH!A1</f>
        <v>Đơn vị: CÔNG TY TNHH HẢI SẢN AN LẠC</v>
      </c>
      <c r="C2" s="361"/>
      <c r="D2" s="362"/>
      <c r="E2" s="363"/>
      <c r="F2" s="2"/>
      <c r="J2" s="1065" t="s">
        <v>254</v>
      </c>
      <c r="K2" s="1065"/>
      <c r="L2" s="1065"/>
      <c r="M2" s="1065"/>
      <c r="N2" s="364"/>
    </row>
    <row r="3" spans="1:17" s="284" customFormat="1" ht="16.5" customHeight="1">
      <c r="B3" s="771" t="str">
        <f>TH!A2</f>
        <v>Địa chỉ: Lô A14, Đường 4A, KCN Hải Sơn, Đức Hòa, Long An</v>
      </c>
      <c r="C3" s="360"/>
      <c r="D3" s="360"/>
      <c r="E3" s="365"/>
      <c r="F3" s="360"/>
      <c r="J3" s="1066" t="s">
        <v>48</v>
      </c>
      <c r="K3" s="1066"/>
      <c r="L3" s="1066"/>
      <c r="M3" s="1066"/>
      <c r="N3" s="366"/>
    </row>
    <row r="4" spans="1:17" s="284" customFormat="1" ht="16.5" customHeight="1">
      <c r="B4" s="360"/>
      <c r="C4" s="360"/>
      <c r="D4" s="360"/>
      <c r="E4" s="365"/>
      <c r="F4" s="360"/>
      <c r="J4" s="1066"/>
      <c r="K4" s="1066"/>
      <c r="L4" s="1066"/>
      <c r="M4" s="1066"/>
      <c r="N4" s="366"/>
    </row>
    <row r="5" spans="1:17" ht="18.75" customHeight="1">
      <c r="B5" s="1067" t="s">
        <v>255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367"/>
    </row>
    <row r="6" spans="1:17" s="368" customFormat="1" ht="12.75">
      <c r="B6" s="1068" t="s">
        <v>256</v>
      </c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369"/>
    </row>
    <row r="7" spans="1:17">
      <c r="C7" s="370"/>
      <c r="D7" s="370"/>
      <c r="F7" s="372" t="s">
        <v>338</v>
      </c>
      <c r="G7" s="559" t="str">
        <f>IF($O$10="VL","1522",IF($O$10="NL","1521",IF($O$10="TP","155","")))</f>
        <v>1522</v>
      </c>
      <c r="H7" s="372" t="s">
        <v>257</v>
      </c>
      <c r="I7" s="370" t="str">
        <f>IF($O$10="NL","Nguyên Liệu",IF($O$10="TP","Thành Phẩm",IF($O$10="VL","Vật Liệu","")))</f>
        <v>Vật Liệu</v>
      </c>
      <c r="J7" s="370"/>
      <c r="K7" s="370"/>
      <c r="L7" s="370"/>
      <c r="M7" s="370"/>
      <c r="N7" s="371"/>
    </row>
    <row r="8" spans="1:17">
      <c r="B8" s="371"/>
      <c r="C8" s="370"/>
      <c r="D8" s="370"/>
      <c r="F8" s="371" t="s">
        <v>258</v>
      </c>
      <c r="H8" s="370"/>
      <c r="I8" s="370"/>
      <c r="J8" s="1069" t="s">
        <v>458</v>
      </c>
      <c r="K8" s="1069"/>
      <c r="L8" s="1069"/>
      <c r="M8" s="370"/>
      <c r="N8" s="370"/>
    </row>
    <row r="9" spans="1:17">
      <c r="D9" s="373"/>
      <c r="E9" s="374"/>
      <c r="F9" s="373"/>
      <c r="G9" s="373"/>
      <c r="H9" s="373"/>
      <c r="I9" s="373"/>
      <c r="J9" s="373"/>
      <c r="K9" s="373" t="s">
        <v>130</v>
      </c>
      <c r="M9" s="375"/>
      <c r="N9" s="376"/>
    </row>
    <row r="10" spans="1:17" ht="15.75" customHeight="1">
      <c r="A10" s="1059" t="s">
        <v>35</v>
      </c>
      <c r="B10" s="1060" t="s">
        <v>1</v>
      </c>
      <c r="C10" s="1060"/>
      <c r="D10" s="1061" t="s">
        <v>0</v>
      </c>
      <c r="E10" s="1061" t="s">
        <v>259</v>
      </c>
      <c r="F10" s="1061" t="s">
        <v>247</v>
      </c>
      <c r="G10" s="1063" t="s">
        <v>260</v>
      </c>
      <c r="H10" s="1064"/>
      <c r="I10" s="1063" t="s">
        <v>261</v>
      </c>
      <c r="J10" s="1064"/>
      <c r="K10" s="1063" t="s">
        <v>262</v>
      </c>
      <c r="L10" s="1064"/>
      <c r="M10" s="1061" t="s">
        <v>134</v>
      </c>
      <c r="N10" s="377"/>
      <c r="O10" s="378" t="s">
        <v>263</v>
      </c>
    </row>
    <row r="11" spans="1:17" ht="31.5" customHeight="1">
      <c r="A11" s="1059"/>
      <c r="B11" s="379" t="s">
        <v>15</v>
      </c>
      <c r="C11" s="379" t="s">
        <v>32</v>
      </c>
      <c r="D11" s="1061"/>
      <c r="E11" s="1061"/>
      <c r="F11" s="1061"/>
      <c r="G11" s="379" t="s">
        <v>246</v>
      </c>
      <c r="H11" s="379" t="s">
        <v>248</v>
      </c>
      <c r="I11" s="379" t="s">
        <v>246</v>
      </c>
      <c r="J11" s="379" t="s">
        <v>248</v>
      </c>
      <c r="K11" s="379" t="s">
        <v>246</v>
      </c>
      <c r="L11" s="379" t="s">
        <v>248</v>
      </c>
      <c r="M11" s="1061"/>
      <c r="N11" s="377"/>
    </row>
    <row r="12" spans="1:17" s="371" customFormat="1">
      <c r="A12" s="380"/>
      <c r="B12" s="381" t="s">
        <v>2</v>
      </c>
      <c r="C12" s="382" t="s">
        <v>3</v>
      </c>
      <c r="D12" s="382" t="s">
        <v>4</v>
      </c>
      <c r="E12" s="381" t="s">
        <v>5</v>
      </c>
      <c r="F12" s="381">
        <v>1</v>
      </c>
      <c r="G12" s="381">
        <v>2</v>
      </c>
      <c r="H12" s="381" t="s">
        <v>264</v>
      </c>
      <c r="I12" s="381">
        <v>4</v>
      </c>
      <c r="J12" s="381" t="s">
        <v>265</v>
      </c>
      <c r="K12" s="381">
        <v>6</v>
      </c>
      <c r="L12" s="381" t="s">
        <v>266</v>
      </c>
      <c r="M12" s="381"/>
      <c r="N12" s="383"/>
    </row>
    <row r="13" spans="1:17">
      <c r="A13" s="384"/>
      <c r="B13" s="384"/>
      <c r="C13" s="384"/>
      <c r="D13" s="385" t="s">
        <v>151</v>
      </c>
      <c r="E13" s="386"/>
      <c r="F13" s="387"/>
      <c r="G13" s="387"/>
      <c r="H13" s="387"/>
      <c r="I13" s="387"/>
      <c r="J13" s="387"/>
      <c r="K13" s="388">
        <f>VLOOKUP($J$8,NXT!$C$12:$L$359,3,0)</f>
        <v>0</v>
      </c>
      <c r="L13" s="388">
        <f>VLOOKUP($J$8,NXT!$C$12:$L$359,4,0)</f>
        <v>0</v>
      </c>
      <c r="M13" s="387"/>
      <c r="N13" s="383"/>
    </row>
    <row r="14" spans="1:17">
      <c r="A14" s="354">
        <f ca="1">IF(B14="","",ROW()-13)</f>
        <v>1</v>
      </c>
      <c r="B14" s="389" t="str">
        <f ca="1">IF(ROWS($1:1)&gt;COUNT(Dong11),"",OFFSET(TH!D$1,SMALL(Dong11,ROWS($1:1)),))</f>
        <v>VL/N02</v>
      </c>
      <c r="C14" s="390">
        <f ca="1">IF(ROWS($1:1)&gt;COUNT(Dong11),"",OFFSET(TH!E$1,SMALL(Dong11,ROWS($1:1)),))</f>
        <v>40955</v>
      </c>
      <c r="D14" s="391" t="str">
        <f ca="1">IF(ROWS($1:1)&gt;COUNT(Dong11),"",OFFSET(TH!H$1,SMALL(Dong11,ROWS($1:1)),))</f>
        <v>Cơ Sở Kéo Kẽm Thành Dũng</v>
      </c>
      <c r="E14" s="389" t="str">
        <f ca="1">IF(ROWS($1:1)&gt;COUNT(Dong11),"",IF(OFFSET(TH!L$1,SMALL(Dong11,ROWS($1:1)),)=$G$7,OFFSET(TH!M$1,SMALL(Dong11,ROWS($1:1)),),OFFSET(TH!L$1,SMALL(Dong11,ROWS($1:1)),)))</f>
        <v>331</v>
      </c>
      <c r="F14" s="392">
        <f ca="1">IF(ROWS($1:1)&gt;COUNT(Dong11),0,OFFSET(TH!J$1,SMALL(Dong11,ROWS($1:1)),))</f>
        <v>25000</v>
      </c>
      <c r="G14" s="392">
        <f ca="1">IF(ROWS($1:1)&gt;COUNT(Dong11),0,IF(MID(OFFSET(TH!D$1,SMALL(Dong11,ROWS($1:1)),),4,1)="N",OFFSET(TH!I$1,SMALL(Dong11,ROWS($1:1)),),0))</f>
        <v>100</v>
      </c>
      <c r="H14" s="393">
        <f ca="1">ROUND(F14*G14,0)</f>
        <v>2500000</v>
      </c>
      <c r="I14" s="392">
        <f ca="1">IF(ROWS($1:1)&gt;COUNT(Dong11),0,IF(MID(OFFSET(TH!D$1,SMALL(Dong11,ROWS($1:1)),),4,1)="X",OFFSET(TH!I$1,SMALL(Dong11,ROWS($1:1)),),0))</f>
        <v>0</v>
      </c>
      <c r="J14" s="393">
        <f ca="1">ROUND(F14*I14,0)</f>
        <v>0</v>
      </c>
      <c r="K14" s="393">
        <f ca="1">IF(D14&lt;&gt;"",K13+G14-I14,0)</f>
        <v>100</v>
      </c>
      <c r="L14" s="393">
        <f ca="1">IF(D14&lt;&gt;"",L13+H14-J14,0)</f>
        <v>2500000</v>
      </c>
      <c r="M14" s="393"/>
      <c r="N14" s="383"/>
    </row>
    <row r="15" spans="1:17">
      <c r="A15" s="354">
        <f t="shared" ref="A15:A24" ca="1" si="0">IF(B15="","",A14+1)</f>
        <v>2</v>
      </c>
      <c r="B15" s="389" t="str">
        <f ca="1">IF(ROWS($1:2)&gt;COUNT(Dong11),"",OFFSET(TH!D$1,SMALL(Dong11,ROWS($1:2)),))</f>
        <v>VL/N01</v>
      </c>
      <c r="C15" s="390">
        <f ca="1">IF(ROWS($1:2)&gt;COUNT(Dong11),"",OFFSET(TH!E$1,SMALL(Dong11,ROWS($1:2)),))</f>
        <v>41052</v>
      </c>
      <c r="D15" s="391" t="str">
        <f ca="1">IF(ROWS($1:2)&gt;COUNT(Dong11),"",OFFSET(TH!H$1,SMALL(Dong11,ROWS($1:2)),))</f>
        <v>Cơ Sở Kéo Kẽm Thành Dũng</v>
      </c>
      <c r="E15" s="389" t="str">
        <f ca="1">IF(ROWS($1:2)&gt;COUNT(Dong11),"",IF(OFFSET(TH!L$1,SMALL(Dong11,ROWS($1:2)),)=$G$7,OFFSET(TH!M$1,SMALL(Dong11,ROWS($1:2)),),OFFSET(TH!L$1,SMALL(Dong11,ROWS($1:2)),)))</f>
        <v>331</v>
      </c>
      <c r="F15" s="392">
        <f ca="1">IF(ROWS($1:2)&gt;COUNT(Dong11),0,OFFSET(TH!J$1,SMALL(Dong11,ROWS($1:2)),))</f>
        <v>25000</v>
      </c>
      <c r="G15" s="392">
        <f ca="1">IF(ROWS($1:2)&gt;COUNT(Dong11),0,IF(MID(OFFSET(TH!D$1,SMALL(Dong11,ROWS($1:2)),),4,1)="N",OFFSET(TH!I$1,SMALL(Dong11,ROWS($1:2)),),0))</f>
        <v>100</v>
      </c>
      <c r="H15" s="393">
        <f t="shared" ref="H15:H24" ca="1" si="1">ROUND(F15*G15,0)</f>
        <v>2500000</v>
      </c>
      <c r="I15" s="392">
        <f ca="1">IF(ROWS($1:2)&gt;COUNT(Dong11),0,IF(MID(OFFSET(TH!D$1,SMALL(Dong11,ROWS($1:2)),),4,1)="X",OFFSET(TH!I$1,SMALL(Dong11,ROWS($1:2)),),0))</f>
        <v>0</v>
      </c>
      <c r="J15" s="393">
        <f t="shared" ref="J15:J24" ca="1" si="2">ROUND(F15*I15,0)</f>
        <v>0</v>
      </c>
      <c r="K15" s="393">
        <f t="shared" ref="K15:K24" ca="1" si="3">IF(D15&lt;&gt;"",K14+G15-I15,0)</f>
        <v>200</v>
      </c>
      <c r="L15" s="393">
        <f t="shared" ref="L15:L24" ca="1" si="4">IF(D15&lt;&gt;"",L14+H15-J15,0)</f>
        <v>5000000</v>
      </c>
      <c r="M15" s="393"/>
      <c r="N15" s="383"/>
      <c r="Q15" s="394"/>
    </row>
    <row r="16" spans="1:17">
      <c r="A16" s="354">
        <f t="shared" ca="1" si="0"/>
        <v>3</v>
      </c>
      <c r="B16" s="389" t="str">
        <f ca="1">IF(ROWS($1:3)&gt;COUNT(Dong11),"",OFFSET(TH!D$1,SMALL(Dong11,ROWS($1:3)),))</f>
        <v>VL/N01</v>
      </c>
      <c r="C16" s="390">
        <f ca="1">IF(ROWS($1:3)&gt;COUNT(Dong11),"",OFFSET(TH!E$1,SMALL(Dong11,ROWS($1:3)),))</f>
        <v>41099</v>
      </c>
      <c r="D16" s="391" t="str">
        <f ca="1">IF(ROWS($1:3)&gt;COUNT(Dong11),"",OFFSET(TH!H$1,SMALL(Dong11,ROWS($1:3)),))</f>
        <v>Cơ Sở Kéo Kẽm Thành Dũng</v>
      </c>
      <c r="E16" s="389" t="str">
        <f ca="1">IF(ROWS($1:3)&gt;COUNT(Dong11),"",IF(OFFSET(TH!L$1,SMALL(Dong11,ROWS($1:3)),)=$G$7,OFFSET(TH!M$1,SMALL(Dong11,ROWS($1:3)),),OFFSET(TH!L$1,SMALL(Dong11,ROWS($1:3)),)))</f>
        <v>331</v>
      </c>
      <c r="F16" s="392">
        <f ca="1">IF(ROWS($1:3)&gt;COUNT(Dong11),0,OFFSET(TH!J$1,SMALL(Dong11,ROWS($1:3)),))</f>
        <v>25000</v>
      </c>
      <c r="G16" s="392">
        <f ca="1">IF(ROWS($1:3)&gt;COUNT(Dong11),0,IF(MID(OFFSET(TH!D$1,SMALL(Dong11,ROWS($1:3)),),4,1)="N",OFFSET(TH!I$1,SMALL(Dong11,ROWS($1:3)),),0))</f>
        <v>100</v>
      </c>
      <c r="H16" s="393">
        <f t="shared" ca="1" si="1"/>
        <v>2500000</v>
      </c>
      <c r="I16" s="392">
        <f ca="1">IF(ROWS($1:3)&gt;COUNT(Dong11),0,IF(MID(OFFSET(TH!D$1,SMALL(Dong11,ROWS($1:3)),),4,1)="X",OFFSET(TH!I$1,SMALL(Dong11,ROWS($1:3)),),0))</f>
        <v>0</v>
      </c>
      <c r="J16" s="393">
        <f t="shared" ca="1" si="2"/>
        <v>0</v>
      </c>
      <c r="K16" s="393">
        <f t="shared" ca="1" si="3"/>
        <v>300</v>
      </c>
      <c r="L16" s="393">
        <f t="shared" ca="1" si="4"/>
        <v>7500000</v>
      </c>
      <c r="M16" s="393"/>
      <c r="N16" s="383"/>
    </row>
    <row r="17" spans="1:16">
      <c r="A17" s="354">
        <f t="shared" ca="1" si="0"/>
        <v>4</v>
      </c>
      <c r="B17" s="389" t="str">
        <f ca="1">IF(ROWS($1:4)&gt;COUNT(Dong11),"",OFFSET(TH!D$1,SMALL(Dong11,ROWS($1:4)),))</f>
        <v>VL/N02</v>
      </c>
      <c r="C17" s="390">
        <f ca="1">IF(ROWS($1:4)&gt;COUNT(Dong11),"",OFFSET(TH!E$1,SMALL(Dong11,ROWS($1:4)),))</f>
        <v>41156</v>
      </c>
      <c r="D17" s="391" t="str">
        <f ca="1">IF(ROWS($1:4)&gt;COUNT(Dong11),"",OFFSET(TH!H$1,SMALL(Dong11,ROWS($1:4)),))</f>
        <v>Cơ Sở Kéo Kẽm Thành Dũng</v>
      </c>
      <c r="E17" s="389" t="str">
        <f ca="1">IF(ROWS($1:4)&gt;COUNT(Dong11),"",IF(OFFSET(TH!L$1,SMALL(Dong11,ROWS($1:4)),)=$G$7,OFFSET(TH!M$1,SMALL(Dong11,ROWS($1:4)),),OFFSET(TH!L$1,SMALL(Dong11,ROWS($1:4)),)))</f>
        <v>331</v>
      </c>
      <c r="F17" s="392">
        <f ca="1">IF(ROWS($1:4)&gt;COUNT(Dong11),0,OFFSET(TH!J$1,SMALL(Dong11,ROWS($1:4)),))</f>
        <v>25000</v>
      </c>
      <c r="G17" s="392">
        <f ca="1">IF(ROWS($1:4)&gt;COUNT(Dong11),0,IF(MID(OFFSET(TH!D$1,SMALL(Dong11,ROWS($1:4)),),4,1)="N",OFFSET(TH!I$1,SMALL(Dong11,ROWS($1:4)),),0))</f>
        <v>100</v>
      </c>
      <c r="H17" s="393">
        <f t="shared" ca="1" si="1"/>
        <v>2500000</v>
      </c>
      <c r="I17" s="392">
        <f ca="1">IF(ROWS($1:4)&gt;COUNT(Dong11),0,IF(MID(OFFSET(TH!D$1,SMALL(Dong11,ROWS($1:4)),),4,1)="X",OFFSET(TH!I$1,SMALL(Dong11,ROWS($1:4)),),0))</f>
        <v>0</v>
      </c>
      <c r="J17" s="393">
        <f t="shared" ca="1" si="2"/>
        <v>0</v>
      </c>
      <c r="K17" s="393">
        <f t="shared" ca="1" si="3"/>
        <v>400</v>
      </c>
      <c r="L17" s="393">
        <f t="shared" ca="1" si="4"/>
        <v>10000000</v>
      </c>
      <c r="M17" s="393"/>
      <c r="N17" s="383"/>
      <c r="P17" s="395"/>
    </row>
    <row r="18" spans="1:16">
      <c r="A18" s="354" t="str">
        <f t="shared" ca="1" si="0"/>
        <v/>
      </c>
      <c r="B18" s="389" t="str">
        <f ca="1">IF(ROWS($1:5)&gt;COUNT(Dong11),"",OFFSET(TH!D$1,SMALL(Dong11,ROWS($1:5)),))</f>
        <v/>
      </c>
      <c r="C18" s="390" t="str">
        <f ca="1">IF(ROWS($1:5)&gt;COUNT(Dong11),"",OFFSET(TH!E$1,SMALL(Dong11,ROWS($1:5)),))</f>
        <v/>
      </c>
      <c r="D18" s="391" t="str">
        <f ca="1">IF(ROWS($1:5)&gt;COUNT(Dong11),"",OFFSET(TH!H$1,SMALL(Dong11,ROWS($1:5)),))</f>
        <v/>
      </c>
      <c r="E18" s="389" t="str">
        <f ca="1">IF(ROWS($1:5)&gt;COUNT(Dong11),"",IF(OFFSET(TH!L$1,SMALL(Dong11,ROWS($1:5)),)=$G$7,OFFSET(TH!M$1,SMALL(Dong11,ROWS($1:5)),),OFFSET(TH!L$1,SMALL(Dong11,ROWS($1:5)),)))</f>
        <v/>
      </c>
      <c r="F18" s="392">
        <f ca="1">IF(ROWS($1:5)&gt;COUNT(Dong11),0,OFFSET(TH!J$1,SMALL(Dong11,ROWS($1:5)),))</f>
        <v>0</v>
      </c>
      <c r="G18" s="392">
        <f ca="1">IF(ROWS($1:5)&gt;COUNT(Dong11),0,IF(MID(OFFSET(TH!D$1,SMALL(Dong11,ROWS($1:5)),),4,1)="N",OFFSET(TH!I$1,SMALL(Dong11,ROWS($1:5)),),0))</f>
        <v>0</v>
      </c>
      <c r="H18" s="393">
        <f t="shared" ca="1" si="1"/>
        <v>0</v>
      </c>
      <c r="I18" s="392">
        <f ca="1">IF(ROWS($1:5)&gt;COUNT(Dong11),0,IF(MID(OFFSET(TH!D$1,SMALL(Dong11,ROWS($1:5)),),4,1)="X",OFFSET(TH!I$1,SMALL(Dong11,ROWS($1:5)),),0))</f>
        <v>0</v>
      </c>
      <c r="J18" s="393">
        <f t="shared" ca="1" si="2"/>
        <v>0</v>
      </c>
      <c r="K18" s="393">
        <f t="shared" ca="1" si="3"/>
        <v>0</v>
      </c>
      <c r="L18" s="393">
        <f t="shared" ca="1" si="4"/>
        <v>0</v>
      </c>
      <c r="M18" s="393"/>
      <c r="N18" s="383"/>
    </row>
    <row r="19" spans="1:16">
      <c r="A19" s="354" t="str">
        <f t="shared" ca="1" si="0"/>
        <v/>
      </c>
      <c r="B19" s="389" t="str">
        <f ca="1">IF(ROWS($1:6)&gt;COUNT(Dong11),"",OFFSET(TH!D$1,SMALL(Dong11,ROWS($1:6)),))</f>
        <v/>
      </c>
      <c r="C19" s="390" t="str">
        <f ca="1">IF(ROWS($1:6)&gt;COUNT(Dong11),"",OFFSET(TH!E$1,SMALL(Dong11,ROWS($1:6)),))</f>
        <v/>
      </c>
      <c r="D19" s="391" t="str">
        <f ca="1">IF(ROWS($1:6)&gt;COUNT(Dong11),"",OFFSET(TH!H$1,SMALL(Dong11,ROWS($1:6)),))</f>
        <v/>
      </c>
      <c r="E19" s="389" t="str">
        <f ca="1">IF(ROWS($1:6)&gt;COUNT(Dong11),"",IF(OFFSET(TH!L$1,SMALL(Dong11,ROWS($1:6)),)=$G$7,OFFSET(TH!M$1,SMALL(Dong11,ROWS($1:6)),),OFFSET(TH!L$1,SMALL(Dong11,ROWS($1:6)),)))</f>
        <v/>
      </c>
      <c r="F19" s="392">
        <f ca="1">IF(ROWS($1:6)&gt;COUNT(Dong11),0,OFFSET(TH!J$1,SMALL(Dong11,ROWS($1:6)),))</f>
        <v>0</v>
      </c>
      <c r="G19" s="392">
        <f ca="1">IF(ROWS($1:6)&gt;COUNT(Dong11),0,IF(MID(OFFSET(TH!D$1,SMALL(Dong11,ROWS($1:6)),),4,1)="N",OFFSET(TH!I$1,SMALL(Dong11,ROWS($1:6)),),0))</f>
        <v>0</v>
      </c>
      <c r="H19" s="393">
        <f t="shared" ca="1" si="1"/>
        <v>0</v>
      </c>
      <c r="I19" s="392">
        <f ca="1">IF(ROWS($1:6)&gt;COUNT(Dong11),0,IF(MID(OFFSET(TH!D$1,SMALL(Dong11,ROWS($1:6)),),4,1)="X",OFFSET(TH!I$1,SMALL(Dong11,ROWS($1:6)),),0))</f>
        <v>0</v>
      </c>
      <c r="J19" s="393">
        <f t="shared" ca="1" si="2"/>
        <v>0</v>
      </c>
      <c r="K19" s="393">
        <f t="shared" ca="1" si="3"/>
        <v>0</v>
      </c>
      <c r="L19" s="393">
        <f t="shared" ca="1" si="4"/>
        <v>0</v>
      </c>
      <c r="M19" s="393"/>
      <c r="N19" s="383"/>
    </row>
    <row r="20" spans="1:16">
      <c r="A20" s="354" t="str">
        <f t="shared" ca="1" si="0"/>
        <v/>
      </c>
      <c r="B20" s="389" t="str">
        <f ca="1">IF(ROWS($1:7)&gt;COUNT(Dong11),"",OFFSET(TH!D$1,SMALL(Dong11,ROWS($1:7)),))</f>
        <v/>
      </c>
      <c r="C20" s="390" t="str">
        <f ca="1">IF(ROWS($1:7)&gt;COUNT(Dong11),"",OFFSET(TH!E$1,SMALL(Dong11,ROWS($1:7)),))</f>
        <v/>
      </c>
      <c r="D20" s="391" t="str">
        <f ca="1">IF(ROWS($1:7)&gt;COUNT(Dong11),"",OFFSET(TH!H$1,SMALL(Dong11,ROWS($1:7)),))</f>
        <v/>
      </c>
      <c r="E20" s="389" t="str">
        <f ca="1">IF(ROWS($1:7)&gt;COUNT(Dong11),"",IF(OFFSET(TH!L$1,SMALL(Dong11,ROWS($1:7)),)=$G$7,OFFSET(TH!M$1,SMALL(Dong11,ROWS($1:7)),),OFFSET(TH!L$1,SMALL(Dong11,ROWS($1:7)),)))</f>
        <v/>
      </c>
      <c r="F20" s="392">
        <f ca="1">IF(ROWS($1:7)&gt;COUNT(Dong11),0,OFFSET(TH!J$1,SMALL(Dong11,ROWS($1:7)),))</f>
        <v>0</v>
      </c>
      <c r="G20" s="392">
        <f ca="1">IF(ROWS($1:7)&gt;COUNT(Dong11),0,IF(MID(OFFSET(TH!D$1,SMALL(Dong11,ROWS($1:7)),),4,1)="N",OFFSET(TH!I$1,SMALL(Dong11,ROWS($1:7)),),0))</f>
        <v>0</v>
      </c>
      <c r="H20" s="393">
        <f t="shared" ca="1" si="1"/>
        <v>0</v>
      </c>
      <c r="I20" s="392">
        <f ca="1">IF(ROWS($1:7)&gt;COUNT(Dong11),0,IF(MID(OFFSET(TH!D$1,SMALL(Dong11,ROWS($1:7)),),4,1)="X",OFFSET(TH!I$1,SMALL(Dong11,ROWS($1:7)),),0))</f>
        <v>0</v>
      </c>
      <c r="J20" s="393">
        <f t="shared" ca="1" si="2"/>
        <v>0</v>
      </c>
      <c r="K20" s="393">
        <f t="shared" ca="1" si="3"/>
        <v>0</v>
      </c>
      <c r="L20" s="393">
        <f t="shared" ca="1" si="4"/>
        <v>0</v>
      </c>
      <c r="M20" s="393"/>
      <c r="N20" s="383"/>
    </row>
    <row r="21" spans="1:16">
      <c r="A21" s="354" t="str">
        <f t="shared" ca="1" si="0"/>
        <v/>
      </c>
      <c r="B21" s="389" t="str">
        <f ca="1">IF(ROWS($1:8)&gt;COUNT(Dong11),"",OFFSET(TH!D$1,SMALL(Dong11,ROWS($1:8)),))</f>
        <v/>
      </c>
      <c r="C21" s="390" t="str">
        <f ca="1">IF(ROWS($1:8)&gt;COUNT(Dong11),"",OFFSET(TH!E$1,SMALL(Dong11,ROWS($1:8)),))</f>
        <v/>
      </c>
      <c r="D21" s="391" t="str">
        <f ca="1">IF(ROWS($1:8)&gt;COUNT(Dong11),"",OFFSET(TH!H$1,SMALL(Dong11,ROWS($1:8)),))</f>
        <v/>
      </c>
      <c r="E21" s="389" t="str">
        <f ca="1">IF(ROWS($1:8)&gt;COUNT(Dong11),"",IF(OFFSET(TH!L$1,SMALL(Dong11,ROWS($1:8)),)=$G$7,OFFSET(TH!M$1,SMALL(Dong11,ROWS($1:8)),),OFFSET(TH!L$1,SMALL(Dong11,ROWS($1:8)),)))</f>
        <v/>
      </c>
      <c r="F21" s="392">
        <f ca="1">IF(ROWS($1:8)&gt;COUNT(Dong11),0,OFFSET(TH!J$1,SMALL(Dong11,ROWS($1:8)),))</f>
        <v>0</v>
      </c>
      <c r="G21" s="392">
        <f ca="1">IF(ROWS($1:8)&gt;COUNT(Dong11),0,IF(MID(OFFSET(TH!D$1,SMALL(Dong11,ROWS($1:8)),),4,1)="N",OFFSET(TH!I$1,SMALL(Dong11,ROWS($1:8)),),0))</f>
        <v>0</v>
      </c>
      <c r="H21" s="393">
        <f t="shared" ca="1" si="1"/>
        <v>0</v>
      </c>
      <c r="I21" s="392">
        <f ca="1">IF(ROWS($1:8)&gt;COUNT(Dong11),0,IF(MID(OFFSET(TH!D$1,SMALL(Dong11,ROWS($1:8)),),4,1)="X",OFFSET(TH!I$1,SMALL(Dong11,ROWS($1:8)),),0))</f>
        <v>0</v>
      </c>
      <c r="J21" s="393">
        <f t="shared" ca="1" si="2"/>
        <v>0</v>
      </c>
      <c r="K21" s="393">
        <f t="shared" ca="1" si="3"/>
        <v>0</v>
      </c>
      <c r="L21" s="393">
        <f t="shared" ca="1" si="4"/>
        <v>0</v>
      </c>
      <c r="M21" s="393"/>
      <c r="N21" s="383"/>
    </row>
    <row r="22" spans="1:16">
      <c r="A22" s="354" t="str">
        <f t="shared" ca="1" si="0"/>
        <v/>
      </c>
      <c r="B22" s="389" t="str">
        <f ca="1">IF(ROWS($1:9)&gt;COUNT(Dong11),"",OFFSET(TH!D$1,SMALL(Dong11,ROWS($1:9)),))</f>
        <v/>
      </c>
      <c r="C22" s="390" t="str">
        <f ca="1">IF(ROWS($1:9)&gt;COUNT(Dong11),"",OFFSET(TH!E$1,SMALL(Dong11,ROWS($1:9)),))</f>
        <v/>
      </c>
      <c r="D22" s="391" t="str">
        <f ca="1">IF(ROWS($1:9)&gt;COUNT(Dong11),"",OFFSET(TH!H$1,SMALL(Dong11,ROWS($1:9)),))</f>
        <v/>
      </c>
      <c r="E22" s="389" t="str">
        <f ca="1">IF(ROWS($1:9)&gt;COUNT(Dong11),"",IF(OFFSET(TH!L$1,SMALL(Dong11,ROWS($1:9)),)=$G$7,OFFSET(TH!M$1,SMALL(Dong11,ROWS($1:9)),),OFFSET(TH!L$1,SMALL(Dong11,ROWS($1:9)),)))</f>
        <v/>
      </c>
      <c r="F22" s="392">
        <f ca="1">IF(ROWS($1:9)&gt;COUNT(Dong11),0,OFFSET(TH!J$1,SMALL(Dong11,ROWS($1:9)),))</f>
        <v>0</v>
      </c>
      <c r="G22" s="392">
        <f ca="1">IF(ROWS($1:9)&gt;COUNT(Dong11),0,IF(MID(OFFSET(TH!D$1,SMALL(Dong11,ROWS($1:9)),),4,1)="N",OFFSET(TH!I$1,SMALL(Dong11,ROWS($1:9)),),0))</f>
        <v>0</v>
      </c>
      <c r="H22" s="393">
        <f t="shared" ca="1" si="1"/>
        <v>0</v>
      </c>
      <c r="I22" s="392">
        <f ca="1">IF(ROWS($1:9)&gt;COUNT(Dong11),0,IF(MID(OFFSET(TH!D$1,SMALL(Dong11,ROWS($1:9)),),4,1)="X",OFFSET(TH!I$1,SMALL(Dong11,ROWS($1:9)),),0))</f>
        <v>0</v>
      </c>
      <c r="J22" s="393">
        <f t="shared" ca="1" si="2"/>
        <v>0</v>
      </c>
      <c r="K22" s="393">
        <f t="shared" ca="1" si="3"/>
        <v>0</v>
      </c>
      <c r="L22" s="393">
        <f t="shared" ca="1" si="4"/>
        <v>0</v>
      </c>
      <c r="M22" s="393"/>
      <c r="N22" s="383"/>
    </row>
    <row r="23" spans="1:16">
      <c r="A23" s="354" t="str">
        <f t="shared" ca="1" si="0"/>
        <v/>
      </c>
      <c r="B23" s="389" t="str">
        <f ca="1">IF(ROWS($1:10)&gt;COUNT(Dong11),"",OFFSET(TH!D$1,SMALL(Dong11,ROWS($1:10)),))</f>
        <v/>
      </c>
      <c r="C23" s="390" t="str">
        <f ca="1">IF(ROWS($1:10)&gt;COUNT(Dong11),"",OFFSET(TH!E$1,SMALL(Dong11,ROWS($1:10)),))</f>
        <v/>
      </c>
      <c r="D23" s="391" t="str">
        <f ca="1">IF(ROWS($1:10)&gt;COUNT(Dong11),"",OFFSET(TH!H$1,SMALL(Dong11,ROWS($1:10)),))</f>
        <v/>
      </c>
      <c r="E23" s="389" t="str">
        <f ca="1">IF(ROWS($1:10)&gt;COUNT(Dong11),"",IF(OFFSET(TH!L$1,SMALL(Dong11,ROWS($1:10)),)=$G$7,OFFSET(TH!M$1,SMALL(Dong11,ROWS($1:10)),),OFFSET(TH!L$1,SMALL(Dong11,ROWS($1:10)),)))</f>
        <v/>
      </c>
      <c r="F23" s="392">
        <f ca="1">IF(ROWS($1:10)&gt;COUNT(Dong11),0,OFFSET(TH!J$1,SMALL(Dong11,ROWS($1:10)),))</f>
        <v>0</v>
      </c>
      <c r="G23" s="392">
        <f ca="1">IF(ROWS($1:10)&gt;COUNT(Dong11),0,IF(MID(OFFSET(TH!D$1,SMALL(Dong11,ROWS($1:10)),),4,1)="N",OFFSET(TH!I$1,SMALL(Dong11,ROWS($1:10)),),0))</f>
        <v>0</v>
      </c>
      <c r="H23" s="393">
        <f t="shared" ca="1" si="1"/>
        <v>0</v>
      </c>
      <c r="I23" s="392">
        <f ca="1">IF(ROWS($1:10)&gt;COUNT(Dong11),0,IF(MID(OFFSET(TH!D$1,SMALL(Dong11,ROWS($1:10)),),4,1)="X",OFFSET(TH!I$1,SMALL(Dong11,ROWS($1:10)),),0))</f>
        <v>0</v>
      </c>
      <c r="J23" s="393">
        <f t="shared" ca="1" si="2"/>
        <v>0</v>
      </c>
      <c r="K23" s="393">
        <f t="shared" ca="1" si="3"/>
        <v>0</v>
      </c>
      <c r="L23" s="393">
        <f t="shared" ca="1" si="4"/>
        <v>0</v>
      </c>
      <c r="M23" s="393"/>
      <c r="N23" s="383"/>
    </row>
    <row r="24" spans="1:16">
      <c r="A24" s="354" t="str">
        <f t="shared" ca="1" si="0"/>
        <v/>
      </c>
      <c r="B24" s="389" t="str">
        <f ca="1">IF(ROWS($1:11)&gt;COUNT(Dong11),"",OFFSET(TH!D$1,SMALL(Dong11,ROWS($1:11)),))</f>
        <v/>
      </c>
      <c r="C24" s="390" t="str">
        <f ca="1">IF(ROWS($1:11)&gt;COUNT(Dong11),"",OFFSET(TH!E$1,SMALL(Dong11,ROWS($1:11)),))</f>
        <v/>
      </c>
      <c r="D24" s="391" t="str">
        <f ca="1">IF(ROWS($1:11)&gt;COUNT(Dong11),"",OFFSET(TH!H$1,SMALL(Dong11,ROWS($1:11)),))</f>
        <v/>
      </c>
      <c r="E24" s="389" t="str">
        <f ca="1">IF(ROWS($1:11)&gt;COUNT(Dong11),"",IF(OFFSET(TH!L$1,SMALL(Dong11,ROWS($1:11)),)=$G$7,OFFSET(TH!M$1,SMALL(Dong11,ROWS($1:11)),),OFFSET(TH!L$1,SMALL(Dong11,ROWS($1:11)),)))</f>
        <v/>
      </c>
      <c r="F24" s="392">
        <f ca="1">IF(ROWS($1:11)&gt;COUNT(Dong11),0,OFFSET(TH!J$1,SMALL(Dong11,ROWS($1:11)),))</f>
        <v>0</v>
      </c>
      <c r="G24" s="392">
        <f ca="1">IF(ROWS($1:11)&gt;COUNT(Dong11),0,IF(MID(OFFSET(TH!D$1,SMALL(Dong11,ROWS($1:11)),),4,1)="N",OFFSET(TH!I$1,SMALL(Dong11,ROWS($1:11)),),0))</f>
        <v>0</v>
      </c>
      <c r="H24" s="393">
        <f t="shared" ca="1" si="1"/>
        <v>0</v>
      </c>
      <c r="I24" s="392">
        <f ca="1">IF(ROWS($1:11)&gt;COUNT(Dong11),0,IF(MID(OFFSET(TH!D$1,SMALL(Dong11,ROWS($1:11)),),4,1)="X",OFFSET(TH!I$1,SMALL(Dong11,ROWS($1:11)),),0))</f>
        <v>0</v>
      </c>
      <c r="J24" s="393">
        <f t="shared" ca="1" si="2"/>
        <v>0</v>
      </c>
      <c r="K24" s="393">
        <f t="shared" ca="1" si="3"/>
        <v>0</v>
      </c>
      <c r="L24" s="393">
        <f t="shared" ca="1" si="4"/>
        <v>0</v>
      </c>
      <c r="M24" s="393"/>
      <c r="N24" s="383"/>
    </row>
    <row r="25" spans="1:16">
      <c r="A25" s="354" t="str">
        <f>IF(B25="","",#REF!+1)</f>
        <v/>
      </c>
      <c r="B25" s="396"/>
      <c r="C25" s="397"/>
      <c r="D25" s="391" t="str">
        <f ca="1">IF(ROWS($1:12)&gt;COUNT(Dong11),"",OFFSET(TH!H$1,SMALL(Dong11,ROWS($1:12)),))</f>
        <v/>
      </c>
      <c r="E25" s="398"/>
      <c r="F25" s="399"/>
      <c r="G25" s="385"/>
      <c r="H25" s="385"/>
      <c r="I25" s="385"/>
      <c r="J25" s="385"/>
      <c r="K25" s="385"/>
      <c r="L25" s="385"/>
      <c r="M25" s="400"/>
      <c r="N25" s="383"/>
    </row>
    <row r="26" spans="1:16">
      <c r="A26" s="401"/>
      <c r="B26" s="401"/>
      <c r="C26" s="401"/>
      <c r="D26" s="401" t="s">
        <v>267</v>
      </c>
      <c r="E26" s="381" t="s">
        <v>19</v>
      </c>
      <c r="F26" s="381" t="s">
        <v>19</v>
      </c>
      <c r="G26" s="402">
        <f ca="1">SUM(G14:G25)</f>
        <v>400</v>
      </c>
      <c r="H26" s="402">
        <f ca="1">SUM(H14:H25)</f>
        <v>10000000</v>
      </c>
      <c r="I26" s="402">
        <f ca="1">SUM(I14:I25)</f>
        <v>0</v>
      </c>
      <c r="J26" s="402">
        <f ca="1">SUM(J14:J25)</f>
        <v>0</v>
      </c>
      <c r="K26" s="402">
        <f ca="1">K13+G26-I26</f>
        <v>400</v>
      </c>
      <c r="L26" s="402">
        <f ca="1">L13+H26-J26</f>
        <v>10000000</v>
      </c>
      <c r="M26" s="401"/>
      <c r="N26" s="383"/>
    </row>
    <row r="27" spans="1:16">
      <c r="B27" s="403" t="s">
        <v>268</v>
      </c>
      <c r="G27" s="395"/>
      <c r="N27" s="383"/>
    </row>
    <row r="28" spans="1:16">
      <c r="B28" s="40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5"/>
      <c r="I28" s="395"/>
      <c r="N28" s="383"/>
    </row>
    <row r="29" spans="1:16">
      <c r="B29" s="370"/>
      <c r="C29" s="370"/>
      <c r="D29" s="370"/>
      <c r="F29" s="370"/>
      <c r="G29" s="405"/>
      <c r="H29" s="371"/>
      <c r="I29" s="406"/>
      <c r="J29" s="1062" t="s">
        <v>242</v>
      </c>
      <c r="K29" s="1062"/>
      <c r="L29" s="1062"/>
      <c r="M29" s="1062"/>
      <c r="N29" s="383"/>
    </row>
    <row r="30" spans="1:16">
      <c r="C30" s="370"/>
      <c r="D30" s="655" t="s">
        <v>11</v>
      </c>
      <c r="E30" s="1062" t="s">
        <v>12</v>
      </c>
      <c r="F30" s="1062"/>
      <c r="G30" s="1062"/>
      <c r="H30" s="1062"/>
      <c r="I30" s="1062"/>
      <c r="J30" s="1062" t="s">
        <v>113</v>
      </c>
      <c r="K30" s="1062"/>
      <c r="L30" s="1062"/>
      <c r="M30" s="1062"/>
      <c r="N30" s="383"/>
    </row>
    <row r="31" spans="1:16">
      <c r="C31" s="370"/>
      <c r="D31" s="655" t="s">
        <v>13</v>
      </c>
      <c r="E31" s="1062" t="s">
        <v>13</v>
      </c>
      <c r="F31" s="1062"/>
      <c r="G31" s="1062"/>
      <c r="H31" s="1062" t="s">
        <v>143</v>
      </c>
      <c r="I31" s="1062"/>
      <c r="J31" s="1062" t="s">
        <v>143</v>
      </c>
      <c r="K31" s="1062"/>
      <c r="L31" s="1062"/>
      <c r="M31" s="1062"/>
      <c r="N31" s="383"/>
    </row>
    <row r="32" spans="1:16">
      <c r="N32" s="407"/>
    </row>
    <row r="33" spans="4:14">
      <c r="E33" s="358"/>
    </row>
    <row r="35" spans="4:14" customFormat="1" ht="12.75">
      <c r="E35" s="408"/>
    </row>
    <row r="40" spans="4:14">
      <c r="D40" s="682" t="s">
        <v>167</v>
      </c>
      <c r="E40" s="682"/>
      <c r="J40" s="1058" t="s">
        <v>107</v>
      </c>
      <c r="K40" s="1058"/>
      <c r="L40" s="1058"/>
      <c r="M40" s="1058"/>
      <c r="N40" s="683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4" customWidth="1"/>
    <col min="2" max="2" width="9.140625" style="414"/>
    <col min="3" max="3" width="9.140625" style="475" customWidth="1"/>
    <col min="4" max="4" width="10.85546875" style="475" customWidth="1"/>
    <col min="5" max="5" width="39.42578125" style="476" customWidth="1"/>
    <col min="6" max="6" width="10.85546875" style="477" customWidth="1"/>
    <col min="7" max="7" width="9" style="478" customWidth="1"/>
    <col min="8" max="8" width="9.5703125" style="478" customWidth="1"/>
    <col min="9" max="9" width="10" style="478" customWidth="1"/>
    <col min="10" max="10" width="8" style="414" customWidth="1"/>
    <col min="11" max="11" width="2.42578125" style="414" customWidth="1"/>
    <col min="12" max="12" width="6.5703125" style="414" customWidth="1"/>
    <col min="13" max="16384" width="9.140625" style="414"/>
  </cols>
  <sheetData>
    <row r="1" spans="1:12" ht="15" customHeight="1">
      <c r="A1" s="409" t="str">
        <f>TH!A1</f>
        <v>Đơn vị: CÔNG TY TNHH HẢI SẢN AN LẠC</v>
      </c>
      <c r="B1" s="410"/>
      <c r="C1" s="410"/>
      <c r="D1" s="410"/>
      <c r="E1" s="411"/>
      <c r="F1" s="410"/>
      <c r="G1" s="412"/>
      <c r="H1" s="413" t="s">
        <v>269</v>
      </c>
      <c r="I1" s="414"/>
      <c r="J1" s="415"/>
      <c r="K1" s="415"/>
      <c r="L1" s="416"/>
    </row>
    <row r="2" spans="1:12" ht="15" customHeight="1">
      <c r="A2" s="772" t="str">
        <f>TH!A2</f>
        <v>Địa chỉ: Lô A14, Đường 4A, KCN Hải Sơn, Đức Hòa, Long An</v>
      </c>
      <c r="B2" s="417"/>
      <c r="C2" s="417"/>
      <c r="D2" s="417"/>
      <c r="E2" s="418"/>
      <c r="F2" s="419"/>
      <c r="G2" s="420"/>
      <c r="H2" s="421" t="s">
        <v>227</v>
      </c>
      <c r="I2" s="414"/>
      <c r="J2" s="415"/>
      <c r="K2" s="415"/>
    </row>
    <row r="3" spans="1:12" ht="15">
      <c r="A3" s="417"/>
      <c r="B3" s="417"/>
      <c r="C3" s="417"/>
      <c r="D3" s="417"/>
      <c r="E3" s="418"/>
      <c r="F3" s="419"/>
      <c r="G3" s="420"/>
      <c r="H3" s="421" t="s">
        <v>172</v>
      </c>
      <c r="I3" s="414"/>
      <c r="J3" s="415"/>
      <c r="K3" s="415"/>
    </row>
    <row r="4" spans="1:12" ht="18.75" customHeight="1">
      <c r="A4" s="422"/>
      <c r="B4" s="422"/>
      <c r="C4" s="422"/>
      <c r="D4" s="422"/>
      <c r="E4" s="423" t="s">
        <v>270</v>
      </c>
      <c r="F4" s="422"/>
      <c r="G4" s="422"/>
      <c r="H4" s="422"/>
      <c r="I4" s="422"/>
      <c r="J4" s="415"/>
      <c r="K4" s="415"/>
    </row>
    <row r="5" spans="1:12" ht="15">
      <c r="A5" s="424"/>
      <c r="B5" s="424"/>
      <c r="C5" s="424"/>
      <c r="D5" s="424"/>
      <c r="E5" s="4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4"/>
      <c r="G5" s="424"/>
      <c r="H5" s="424"/>
      <c r="I5" s="424"/>
      <c r="J5" s="415"/>
      <c r="K5" s="415"/>
    </row>
    <row r="6" spans="1:12" ht="15">
      <c r="A6" s="424"/>
      <c r="B6" s="424"/>
      <c r="C6" s="424"/>
      <c r="D6" s="424"/>
      <c r="E6" s="425" t="s">
        <v>271</v>
      </c>
      <c r="F6" s="424"/>
      <c r="G6" s="424"/>
      <c r="H6" s="424"/>
      <c r="I6" s="424"/>
      <c r="J6" s="415"/>
      <c r="K6" s="415"/>
    </row>
    <row r="7" spans="1:12" ht="15">
      <c r="A7" s="404" t="s">
        <v>272</v>
      </c>
      <c r="B7" s="404"/>
      <c r="C7" s="426"/>
      <c r="D7" s="426"/>
      <c r="E7" s="427" t="s">
        <v>458</v>
      </c>
      <c r="F7" s="419"/>
      <c r="G7" s="428"/>
      <c r="H7" s="428"/>
      <c r="I7" s="428"/>
      <c r="J7" s="415"/>
      <c r="K7" s="415"/>
    </row>
    <row r="8" spans="1:12" ht="15">
      <c r="A8" s="404" t="s">
        <v>273</v>
      </c>
      <c r="B8" s="404"/>
      <c r="C8" s="415" t="str">
        <f>VLOOKUP($E$7,NXT!$C$12:$L$360,2,0)</f>
        <v>kg</v>
      </c>
      <c r="D8" s="404"/>
      <c r="E8" s="427"/>
      <c r="F8" s="419"/>
      <c r="G8" s="428"/>
      <c r="H8" s="428"/>
      <c r="I8" s="428"/>
      <c r="J8" s="415"/>
      <c r="K8" s="415"/>
    </row>
    <row r="9" spans="1:12" ht="15">
      <c r="A9" s="1070" t="s">
        <v>274</v>
      </c>
      <c r="B9" s="1071"/>
      <c r="C9" s="1071"/>
      <c r="D9" s="1071"/>
      <c r="E9" s="427"/>
      <c r="F9" s="419"/>
      <c r="G9" s="428"/>
      <c r="H9" s="428"/>
      <c r="I9" s="428"/>
      <c r="J9" s="429"/>
      <c r="K9" s="429"/>
    </row>
    <row r="10" spans="1:12" ht="19.5" customHeight="1">
      <c r="A10" s="1072" t="s">
        <v>275</v>
      </c>
      <c r="B10" s="1073" t="s">
        <v>276</v>
      </c>
      <c r="C10" s="1075" t="s">
        <v>15</v>
      </c>
      <c r="D10" s="1076"/>
      <c r="E10" s="1077" t="s">
        <v>0</v>
      </c>
      <c r="F10" s="1086" t="s">
        <v>277</v>
      </c>
      <c r="G10" s="1080" t="s">
        <v>246</v>
      </c>
      <c r="H10" s="1080"/>
      <c r="I10" s="1076"/>
      <c r="J10" s="1081" t="s">
        <v>278</v>
      </c>
      <c r="K10" s="430"/>
      <c r="L10" s="431" t="s">
        <v>263</v>
      </c>
    </row>
    <row r="11" spans="1:12" ht="19.5" customHeight="1">
      <c r="A11" s="1072"/>
      <c r="B11" s="1074"/>
      <c r="C11" s="432" t="s">
        <v>260</v>
      </c>
      <c r="D11" s="432" t="s">
        <v>261</v>
      </c>
      <c r="E11" s="1078"/>
      <c r="F11" s="1087"/>
      <c r="G11" s="433" t="s">
        <v>260</v>
      </c>
      <c r="H11" s="433" t="s">
        <v>261</v>
      </c>
      <c r="I11" s="433" t="s">
        <v>262</v>
      </c>
      <c r="J11" s="1082"/>
      <c r="K11" s="430"/>
    </row>
    <row r="12" spans="1:12" ht="15">
      <c r="A12" s="434" t="s">
        <v>2</v>
      </c>
      <c r="B12" s="435" t="s">
        <v>3</v>
      </c>
      <c r="C12" s="436" t="s">
        <v>4</v>
      </c>
      <c r="D12" s="436" t="s">
        <v>5</v>
      </c>
      <c r="E12" s="437" t="s">
        <v>6</v>
      </c>
      <c r="F12" s="435" t="s">
        <v>137</v>
      </c>
      <c r="G12" s="438">
        <v>1</v>
      </c>
      <c r="H12" s="438">
        <v>2</v>
      </c>
      <c r="I12" s="438">
        <v>3</v>
      </c>
      <c r="J12" s="436" t="s">
        <v>138</v>
      </c>
      <c r="K12" s="439"/>
    </row>
    <row r="13" spans="1:12" ht="16.5" customHeight="1">
      <c r="A13" s="440"/>
      <c r="B13" s="441"/>
      <c r="C13" s="442"/>
      <c r="D13" s="442"/>
      <c r="E13" s="443" t="s">
        <v>235</v>
      </c>
      <c r="F13" s="441"/>
      <c r="G13" s="444"/>
      <c r="H13" s="444"/>
      <c r="I13" s="445">
        <f>VLOOKUP($E$7,NXT!$C$12:$L$360,3,0)</f>
        <v>0</v>
      </c>
      <c r="J13" s="440"/>
      <c r="K13" s="446"/>
    </row>
    <row r="14" spans="1:12" ht="16.5" customHeight="1">
      <c r="A14" s="447">
        <f ca="1">IF(B14&lt;&gt;"",ROW()-(ROW()-1),"")</f>
        <v>1</v>
      </c>
      <c r="B14" s="448">
        <f ca="1">IF(ROWS($1:1)&gt;COUNT(Dong12),"",OFFSET(TH!E$1,SMALL(Dong12,ROWS($1:1)),))</f>
        <v>40955</v>
      </c>
      <c r="C14" s="556" t="str">
        <f ca="1">IF(ROWS($1:1)&gt;COUNT(Dong12),"",IF(MID(OFFSET(TH!D$1,SMALL(Dong12,ROWS($1:1)),),4,1)="N",OFFSET(TH!D$1,SMALL(Dong12,ROWS($1:1)),),""))</f>
        <v>VL/N02</v>
      </c>
      <c r="D14" s="448" t="str">
        <f ca="1">IF(ROWS($1:1)&gt;COUNT(Dong12),"",IF(MID(OFFSET(TH!D$1,SMALL(Dong12,ROWS($1:1)),),4,1)="X",OFFSET(TH!D$1,SMALL(Dong12,ROWS($1:1)),),""))</f>
        <v/>
      </c>
      <c r="E14" s="845" t="str">
        <f ca="1">IF(ROWS($1:1)&gt;COUNT(Dong12),"",OFFSET(TH!H$1,SMALL(Dong12,ROWS($1:1)),))</f>
        <v>Cơ Sở Kéo Kẽm Thành Dũng</v>
      </c>
      <c r="F14" s="448">
        <f ca="1">B14</f>
        <v>40955</v>
      </c>
      <c r="G14" s="449">
        <f ca="1">IF(ROWS($1:1)&gt;COUNT(Dong12),0,IF(MID(OFFSET(TH!D$1,SMALL(Dong12,ROWS($1:1)),),4,1)="N",OFFSET(TH!I$1,SMALL(Dong12,ROWS($1:1)),),0))</f>
        <v>100</v>
      </c>
      <c r="H14" s="449">
        <f ca="1">IF(ROWS($1:1)&gt;COUNT(Dong12),0,IF(MID(OFFSET(TH!D$1,SMALL(Dong12,ROWS($1:1)),),4,1)="X",OFFSET(TH!I$1,SMALL(Dong12,ROWS($1:1)),),0))</f>
        <v>0</v>
      </c>
      <c r="I14" s="450">
        <f ca="1">IF(E14&lt;&gt;"",I13+G14-H14,0)</f>
        <v>100</v>
      </c>
      <c r="J14" s="451"/>
      <c r="K14" s="452"/>
    </row>
    <row r="15" spans="1:12" ht="16.5" customHeight="1">
      <c r="A15" s="453">
        <f ca="1">IF(B15&lt;&gt;"",A14+1,"")</f>
        <v>2</v>
      </c>
      <c r="B15" s="448">
        <f ca="1">IF(ROWS($1:2)&gt;COUNT(Dong12),"",OFFSET(TH!E$1,SMALL(Dong12,ROWS($1:2)),))</f>
        <v>41052</v>
      </c>
      <c r="C15" s="556" t="str">
        <f ca="1">IF(ROWS($1:2)&gt;COUNT(Dong12),"",IF(MID(OFFSET(TH!D$1,SMALL(Dong12,ROWS($1:2)),),4,1)="N",OFFSET(TH!D$1,SMALL(Dong12,ROWS($1:2)),),""))</f>
        <v>VL/N01</v>
      </c>
      <c r="D15" s="448" t="str">
        <f ca="1">IF(ROWS($1:2)&gt;COUNT(Dong12),"",IF(MID(OFFSET(TH!D$1,SMALL(Dong12,ROWS($1:2)),),4,1)="X",OFFSET(TH!D$1,SMALL(Dong12,ROWS($1:2)),),""))</f>
        <v/>
      </c>
      <c r="E15" s="845" t="str">
        <f ca="1">IF(ROWS($1:2)&gt;COUNT(Dong12),"",OFFSET(TH!H$1,SMALL(Dong12,ROWS($1:2)),))</f>
        <v>Cơ Sở Kéo Kẽm Thành Dũng</v>
      </c>
      <c r="F15" s="448">
        <f t="shared" ref="F15:F30" ca="1" si="0">B15</f>
        <v>41052</v>
      </c>
      <c r="G15" s="449">
        <f ca="1">IF(ROWS($1:2)&gt;COUNT(Dong12),0,IF(MID(OFFSET(TH!D$1,SMALL(Dong12,ROWS($1:2)),),4,1)="N",OFFSET(TH!I$1,SMALL(Dong12,ROWS($1:2)),),0))</f>
        <v>100</v>
      </c>
      <c r="H15" s="449">
        <f ca="1">IF(ROWS($1:2)&gt;COUNT(Dong12),0,IF(MID(OFFSET(TH!D$1,SMALL(Dong12,ROWS($1:2)),),4,1)="X",OFFSET(TH!I$1,SMALL(Dong12,ROWS($1:2)),),0))</f>
        <v>0</v>
      </c>
      <c r="I15" s="450">
        <f t="shared" ref="I15:I30" ca="1" si="1">IF(E15&lt;&gt;"",I14+G15-H15,0)</f>
        <v>200</v>
      </c>
      <c r="J15" s="451"/>
      <c r="K15" s="452"/>
    </row>
    <row r="16" spans="1:12" ht="16.5" customHeight="1">
      <c r="A16" s="453">
        <f t="shared" ref="A16:A30" ca="1" si="2">IF(B16&lt;&gt;"",A15+1,"")</f>
        <v>3</v>
      </c>
      <c r="B16" s="448">
        <f ca="1">IF(ROWS($1:3)&gt;COUNT(Dong12),"",OFFSET(TH!E$1,SMALL(Dong12,ROWS($1:3)),))</f>
        <v>41099</v>
      </c>
      <c r="C16" s="556" t="str">
        <f ca="1">IF(ROWS($1:3)&gt;COUNT(Dong12),"",IF(MID(OFFSET(TH!D$1,SMALL(Dong12,ROWS($1:3)),),4,1)="N",OFFSET(TH!D$1,SMALL(Dong12,ROWS($1:3)),),""))</f>
        <v>VL/N01</v>
      </c>
      <c r="D16" s="448" t="str">
        <f ca="1">IF(ROWS($1:3)&gt;COUNT(Dong12),"",IF(MID(OFFSET(TH!D$1,SMALL(Dong12,ROWS($1:3)),),4,1)="X",OFFSET(TH!D$1,SMALL(Dong12,ROWS($1:3)),),""))</f>
        <v/>
      </c>
      <c r="E16" s="845" t="str">
        <f ca="1">IF(ROWS($1:3)&gt;COUNT(Dong12),"",OFFSET(TH!H$1,SMALL(Dong12,ROWS($1:3)),))</f>
        <v>Cơ Sở Kéo Kẽm Thành Dũng</v>
      </c>
      <c r="F16" s="448">
        <f t="shared" ca="1" si="0"/>
        <v>41099</v>
      </c>
      <c r="G16" s="449">
        <f ca="1">IF(ROWS($1:3)&gt;COUNT(Dong12),0,IF(MID(OFFSET(TH!D$1,SMALL(Dong12,ROWS($1:3)),),4,1)="N",OFFSET(TH!I$1,SMALL(Dong12,ROWS($1:3)),),0))</f>
        <v>100</v>
      </c>
      <c r="H16" s="449">
        <f ca="1">IF(ROWS($1:3)&gt;COUNT(Dong12),0,IF(MID(OFFSET(TH!D$1,SMALL(Dong12,ROWS($1:3)),),4,1)="X",OFFSET(TH!I$1,SMALL(Dong12,ROWS($1:3)),),0))</f>
        <v>0</v>
      </c>
      <c r="I16" s="450">
        <f t="shared" ca="1" si="1"/>
        <v>300</v>
      </c>
      <c r="J16" s="451"/>
      <c r="K16" s="452"/>
    </row>
    <row r="17" spans="1:11" ht="16.5" customHeight="1">
      <c r="A17" s="453">
        <f t="shared" ca="1" si="2"/>
        <v>4</v>
      </c>
      <c r="B17" s="448">
        <f ca="1">IF(ROWS($1:4)&gt;COUNT(Dong12),"",OFFSET(TH!E$1,SMALL(Dong12,ROWS($1:4)),))</f>
        <v>41156</v>
      </c>
      <c r="C17" s="556" t="str">
        <f ca="1">IF(ROWS($1:4)&gt;COUNT(Dong12),"",IF(MID(OFFSET(TH!D$1,SMALL(Dong12,ROWS($1:4)),),4,1)="N",OFFSET(TH!D$1,SMALL(Dong12,ROWS($1:4)),),""))</f>
        <v>VL/N02</v>
      </c>
      <c r="D17" s="448" t="str">
        <f ca="1">IF(ROWS($1:4)&gt;COUNT(Dong12),"",IF(MID(OFFSET(TH!D$1,SMALL(Dong12,ROWS($1:4)),),4,1)="X",OFFSET(TH!D$1,SMALL(Dong12,ROWS($1:4)),),""))</f>
        <v/>
      </c>
      <c r="E17" s="845" t="str">
        <f ca="1">IF(ROWS($1:4)&gt;COUNT(Dong12),"",OFFSET(TH!H$1,SMALL(Dong12,ROWS($1:4)),))</f>
        <v>Cơ Sở Kéo Kẽm Thành Dũng</v>
      </c>
      <c r="F17" s="448">
        <f t="shared" ca="1" si="0"/>
        <v>41156</v>
      </c>
      <c r="G17" s="449">
        <f ca="1">IF(ROWS($1:4)&gt;COUNT(Dong12),0,IF(MID(OFFSET(TH!D$1,SMALL(Dong12,ROWS($1:4)),),4,1)="N",OFFSET(TH!I$1,SMALL(Dong12,ROWS($1:4)),),0))</f>
        <v>100</v>
      </c>
      <c r="H17" s="449">
        <f ca="1">IF(ROWS($1:4)&gt;COUNT(Dong12),0,IF(MID(OFFSET(TH!D$1,SMALL(Dong12,ROWS($1:4)),),4,1)="X",OFFSET(TH!I$1,SMALL(Dong12,ROWS($1:4)),),0))</f>
        <v>0</v>
      </c>
      <c r="I17" s="450">
        <f t="shared" ca="1" si="1"/>
        <v>400</v>
      </c>
      <c r="J17" s="451"/>
      <c r="K17" s="452"/>
    </row>
    <row r="18" spans="1:11" ht="16.5" customHeight="1">
      <c r="A18" s="453" t="str">
        <f t="shared" ca="1" si="2"/>
        <v/>
      </c>
      <c r="B18" s="448" t="str">
        <f ca="1">IF(ROWS($1:5)&gt;COUNT(Dong12),"",OFFSET(TH!E$1,SMALL(Dong12,ROWS($1:5)),))</f>
        <v/>
      </c>
      <c r="C18" s="556" t="str">
        <f ca="1">IF(ROWS($1:5)&gt;COUNT(Dong12),"",IF(MID(OFFSET(TH!D$1,SMALL(Dong12,ROWS($1:5)),),4,1)="N",OFFSET(TH!D$1,SMALL(Dong12,ROWS($1:5)),),""))</f>
        <v/>
      </c>
      <c r="D18" s="448" t="str">
        <f ca="1">IF(ROWS($1:5)&gt;COUNT(Dong12),"",IF(MID(OFFSET(TH!D$1,SMALL(Dong12,ROWS($1:5)),),4,1)="X",OFFSET(TH!D$1,SMALL(Dong12,ROWS($1:5)),),""))</f>
        <v/>
      </c>
      <c r="E18" s="845" t="str">
        <f ca="1">IF(ROWS($1:5)&gt;COUNT(Dong12),"",OFFSET(TH!H$1,SMALL(Dong12,ROWS($1:5)),))</f>
        <v/>
      </c>
      <c r="F18" s="448" t="str">
        <f t="shared" ca="1" si="0"/>
        <v/>
      </c>
      <c r="G18" s="449">
        <f ca="1">IF(ROWS($1:5)&gt;COUNT(Dong12),0,IF(MID(OFFSET(TH!D$1,SMALL(Dong12,ROWS($1:5)),),4,1)="N",OFFSET(TH!I$1,SMALL(Dong12,ROWS($1:5)),),0))</f>
        <v>0</v>
      </c>
      <c r="H18" s="449">
        <f ca="1">IF(ROWS($1:5)&gt;COUNT(Dong12),0,IF(MID(OFFSET(TH!D$1,SMALL(Dong12,ROWS($1:5)),),4,1)="X",OFFSET(TH!I$1,SMALL(Dong12,ROWS($1:5)),),0))</f>
        <v>0</v>
      </c>
      <c r="I18" s="450">
        <f t="shared" ca="1" si="1"/>
        <v>0</v>
      </c>
      <c r="J18" s="451"/>
      <c r="K18" s="452"/>
    </row>
    <row r="19" spans="1:11" ht="16.5" customHeight="1">
      <c r="A19" s="453" t="str">
        <f t="shared" ca="1" si="2"/>
        <v/>
      </c>
      <c r="B19" s="448" t="str">
        <f ca="1">IF(ROWS($1:6)&gt;COUNT(Dong12),"",OFFSET(TH!E$1,SMALL(Dong12,ROWS($1:6)),))</f>
        <v/>
      </c>
      <c r="C19" s="556" t="str">
        <f ca="1">IF(ROWS($1:6)&gt;COUNT(Dong12),"",IF(MID(OFFSET(TH!D$1,SMALL(Dong12,ROWS($1:6)),),4,1)="N",OFFSET(TH!D$1,SMALL(Dong12,ROWS($1:6)),),""))</f>
        <v/>
      </c>
      <c r="D19" s="448" t="str">
        <f ca="1">IF(ROWS($1:6)&gt;COUNT(Dong12),"",IF(MID(OFFSET(TH!D$1,SMALL(Dong12,ROWS($1:6)),),4,1)="X",OFFSET(TH!D$1,SMALL(Dong12,ROWS($1:6)),),""))</f>
        <v/>
      </c>
      <c r="E19" s="845" t="str">
        <f ca="1">IF(ROWS($1:6)&gt;COUNT(Dong12),"",OFFSET(TH!H$1,SMALL(Dong12,ROWS($1:6)),))</f>
        <v/>
      </c>
      <c r="F19" s="448" t="str">
        <f t="shared" ca="1" si="0"/>
        <v/>
      </c>
      <c r="G19" s="449">
        <f ca="1">IF(ROWS($1:6)&gt;COUNT(Dong12),0,IF(MID(OFFSET(TH!D$1,SMALL(Dong12,ROWS($1:6)),),4,1)="N",OFFSET(TH!I$1,SMALL(Dong12,ROWS($1:6)),),0))</f>
        <v>0</v>
      </c>
      <c r="H19" s="449">
        <f ca="1">IF(ROWS($1:6)&gt;COUNT(Dong12),0,IF(MID(OFFSET(TH!D$1,SMALL(Dong12,ROWS($1:6)),),4,1)="X",OFFSET(TH!I$1,SMALL(Dong12,ROWS($1:6)),),0))</f>
        <v>0</v>
      </c>
      <c r="I19" s="450">
        <f t="shared" ca="1" si="1"/>
        <v>0</v>
      </c>
      <c r="J19" s="451"/>
      <c r="K19" s="452"/>
    </row>
    <row r="20" spans="1:11" ht="16.5" customHeight="1">
      <c r="A20" s="453" t="str">
        <f t="shared" ca="1" si="2"/>
        <v/>
      </c>
      <c r="B20" s="448" t="str">
        <f ca="1">IF(ROWS($1:7)&gt;COUNT(Dong12),"",OFFSET(TH!E$1,SMALL(Dong12,ROWS($1:7)),))</f>
        <v/>
      </c>
      <c r="C20" s="556" t="str">
        <f ca="1">IF(ROWS($1:7)&gt;COUNT(Dong12),"",IF(MID(OFFSET(TH!D$1,SMALL(Dong12,ROWS($1:7)),),4,1)="N",OFFSET(TH!D$1,SMALL(Dong12,ROWS($1:7)),),""))</f>
        <v/>
      </c>
      <c r="D20" s="448" t="str">
        <f ca="1">IF(ROWS($1:7)&gt;COUNT(Dong12),"",IF(MID(OFFSET(TH!D$1,SMALL(Dong12,ROWS($1:7)),),4,1)="X",OFFSET(TH!D$1,SMALL(Dong12,ROWS($1:7)),),""))</f>
        <v/>
      </c>
      <c r="E20" s="845" t="str">
        <f ca="1">IF(ROWS($1:7)&gt;COUNT(Dong12),"",OFFSET(TH!H$1,SMALL(Dong12,ROWS($1:7)),))</f>
        <v/>
      </c>
      <c r="F20" s="448" t="str">
        <f t="shared" ca="1" si="0"/>
        <v/>
      </c>
      <c r="G20" s="449">
        <f ca="1">IF(ROWS($1:7)&gt;COUNT(Dong12),0,IF(MID(OFFSET(TH!D$1,SMALL(Dong12,ROWS($1:7)),),4,1)="N",OFFSET(TH!I$1,SMALL(Dong12,ROWS($1:7)),),0))</f>
        <v>0</v>
      </c>
      <c r="H20" s="449">
        <f ca="1">IF(ROWS($1:7)&gt;COUNT(Dong12),0,IF(MID(OFFSET(TH!D$1,SMALL(Dong12,ROWS($1:7)),),4,1)="X",OFFSET(TH!I$1,SMALL(Dong12,ROWS($1:7)),),0))</f>
        <v>0</v>
      </c>
      <c r="I20" s="450">
        <f t="shared" ca="1" si="1"/>
        <v>0</v>
      </c>
      <c r="J20" s="451"/>
      <c r="K20" s="452"/>
    </row>
    <row r="21" spans="1:11" ht="16.5" customHeight="1">
      <c r="A21" s="453" t="str">
        <f t="shared" ca="1" si="2"/>
        <v/>
      </c>
      <c r="B21" s="448" t="str">
        <f ca="1">IF(ROWS($1:8)&gt;COUNT(Dong12),"",OFFSET(TH!E$1,SMALL(Dong12,ROWS($1:8)),))</f>
        <v/>
      </c>
      <c r="C21" s="556" t="str">
        <f ca="1">IF(ROWS($1:8)&gt;COUNT(Dong12),"",IF(MID(OFFSET(TH!D$1,SMALL(Dong12,ROWS($1:8)),),4,1)="N",OFFSET(TH!D$1,SMALL(Dong12,ROWS($1:8)),),""))</f>
        <v/>
      </c>
      <c r="D21" s="448" t="str">
        <f ca="1">IF(ROWS($1:8)&gt;COUNT(Dong12),"",IF(MID(OFFSET(TH!D$1,SMALL(Dong12,ROWS($1:8)),),4,1)="X",OFFSET(TH!D$1,SMALL(Dong12,ROWS($1:8)),),""))</f>
        <v/>
      </c>
      <c r="E21" s="845" t="str">
        <f ca="1">IF(ROWS($1:8)&gt;COUNT(Dong12),"",OFFSET(TH!H$1,SMALL(Dong12,ROWS($1:8)),))</f>
        <v/>
      </c>
      <c r="F21" s="448" t="str">
        <f t="shared" ca="1" si="0"/>
        <v/>
      </c>
      <c r="G21" s="449">
        <f ca="1">IF(ROWS($1:8)&gt;COUNT(Dong12),0,IF(MID(OFFSET(TH!D$1,SMALL(Dong12,ROWS($1:8)),),4,1)="N",OFFSET(TH!I$1,SMALL(Dong12,ROWS($1:8)),),0))</f>
        <v>0</v>
      </c>
      <c r="H21" s="449">
        <f ca="1">IF(ROWS($1:8)&gt;COUNT(Dong12),0,IF(MID(OFFSET(TH!D$1,SMALL(Dong12,ROWS($1:8)),),4,1)="X",OFFSET(TH!I$1,SMALL(Dong12,ROWS($1:8)),),0))</f>
        <v>0</v>
      </c>
      <c r="I21" s="450">
        <f t="shared" ca="1" si="1"/>
        <v>0</v>
      </c>
      <c r="J21" s="451"/>
      <c r="K21" s="452"/>
    </row>
    <row r="22" spans="1:11" ht="16.5" customHeight="1">
      <c r="A22" s="453" t="str">
        <f t="shared" ca="1" si="2"/>
        <v/>
      </c>
      <c r="B22" s="448" t="str">
        <f ca="1">IF(ROWS($1:9)&gt;COUNT(Dong12),"",OFFSET(TH!E$1,SMALL(Dong12,ROWS($1:9)),))</f>
        <v/>
      </c>
      <c r="C22" s="556" t="str">
        <f ca="1">IF(ROWS($1:9)&gt;COUNT(Dong12),"",IF(MID(OFFSET(TH!D$1,SMALL(Dong12,ROWS($1:9)),),4,1)="N",OFFSET(TH!D$1,SMALL(Dong12,ROWS($1:9)),),""))</f>
        <v/>
      </c>
      <c r="D22" s="448" t="str">
        <f ca="1">IF(ROWS($1:9)&gt;COUNT(Dong12),"",IF(MID(OFFSET(TH!D$1,SMALL(Dong12,ROWS($1:9)),),4,1)="X",OFFSET(TH!D$1,SMALL(Dong12,ROWS($1:9)),),""))</f>
        <v/>
      </c>
      <c r="E22" s="845" t="str">
        <f ca="1">IF(ROWS($1:9)&gt;COUNT(Dong12),"",OFFSET(TH!H$1,SMALL(Dong12,ROWS($1:9)),))</f>
        <v/>
      </c>
      <c r="F22" s="448" t="str">
        <f t="shared" ca="1" si="0"/>
        <v/>
      </c>
      <c r="G22" s="449">
        <f ca="1">IF(ROWS($1:9)&gt;COUNT(Dong12),0,IF(MID(OFFSET(TH!D$1,SMALL(Dong12,ROWS($1:9)),),4,1)="N",OFFSET(TH!I$1,SMALL(Dong12,ROWS($1:9)),),0))</f>
        <v>0</v>
      </c>
      <c r="H22" s="449">
        <f ca="1">IF(ROWS($1:9)&gt;COUNT(Dong12),0,IF(MID(OFFSET(TH!D$1,SMALL(Dong12,ROWS($1:9)),),4,1)="X",OFFSET(TH!I$1,SMALL(Dong12,ROWS($1:9)),),0))</f>
        <v>0</v>
      </c>
      <c r="I22" s="450">
        <f t="shared" ca="1" si="1"/>
        <v>0</v>
      </c>
      <c r="J22" s="451"/>
      <c r="K22" s="452"/>
    </row>
    <row r="23" spans="1:11" ht="16.5" customHeight="1">
      <c r="A23" s="453" t="str">
        <f t="shared" ca="1" si="2"/>
        <v/>
      </c>
      <c r="B23" s="448" t="str">
        <f ca="1">IF(ROWS($1:10)&gt;COUNT(Dong12),"",OFFSET(TH!E$1,SMALL(Dong12,ROWS($1:10)),))</f>
        <v/>
      </c>
      <c r="C23" s="556" t="str">
        <f ca="1">IF(ROWS($1:10)&gt;COUNT(Dong12),"",IF(MID(OFFSET(TH!D$1,SMALL(Dong12,ROWS($1:10)),),4,1)="N",OFFSET(TH!D$1,SMALL(Dong12,ROWS($1:10)),),""))</f>
        <v/>
      </c>
      <c r="D23" s="448" t="str">
        <f ca="1">IF(ROWS($1:10)&gt;COUNT(Dong12),"",IF(MID(OFFSET(TH!D$1,SMALL(Dong12,ROWS($1:10)),),4,1)="X",OFFSET(TH!D$1,SMALL(Dong12,ROWS($1:10)),),""))</f>
        <v/>
      </c>
      <c r="E23" s="845" t="str">
        <f ca="1">IF(ROWS($1:10)&gt;COUNT(Dong12),"",OFFSET(TH!H$1,SMALL(Dong12,ROWS($1:10)),))</f>
        <v/>
      </c>
      <c r="F23" s="448" t="str">
        <f t="shared" ca="1" si="0"/>
        <v/>
      </c>
      <c r="G23" s="449">
        <f ca="1">IF(ROWS($1:10)&gt;COUNT(Dong12),0,IF(MID(OFFSET(TH!D$1,SMALL(Dong12,ROWS($1:10)),),4,1)="N",OFFSET(TH!I$1,SMALL(Dong12,ROWS($1:10)),),0))</f>
        <v>0</v>
      </c>
      <c r="H23" s="449">
        <f ca="1">IF(ROWS($1:10)&gt;COUNT(Dong12),0,IF(MID(OFFSET(TH!D$1,SMALL(Dong12,ROWS($1:10)),),4,1)="X",OFFSET(TH!I$1,SMALL(Dong12,ROWS($1:10)),),0))</f>
        <v>0</v>
      </c>
      <c r="I23" s="450">
        <f t="shared" ca="1" si="1"/>
        <v>0</v>
      </c>
      <c r="J23" s="451"/>
      <c r="K23" s="452"/>
    </row>
    <row r="24" spans="1:11" ht="16.5" customHeight="1">
      <c r="A24" s="453" t="str">
        <f t="shared" ca="1" si="2"/>
        <v/>
      </c>
      <c r="B24" s="448" t="str">
        <f ca="1">IF(ROWS($1:11)&gt;COUNT(Dong12),"",OFFSET(TH!E$1,SMALL(Dong12,ROWS($1:11)),))</f>
        <v/>
      </c>
      <c r="C24" s="556" t="str">
        <f ca="1">IF(ROWS($1:11)&gt;COUNT(Dong12),"",IF(MID(OFFSET(TH!D$1,SMALL(Dong12,ROWS($1:11)),),4,1)="N",OFFSET(TH!D$1,SMALL(Dong12,ROWS($1:11)),),""))</f>
        <v/>
      </c>
      <c r="D24" s="448" t="str">
        <f ca="1">IF(ROWS($1:11)&gt;COUNT(Dong12),"",IF(MID(OFFSET(TH!D$1,SMALL(Dong12,ROWS($1:11)),),4,1)="X",OFFSET(TH!D$1,SMALL(Dong12,ROWS($1:11)),),""))</f>
        <v/>
      </c>
      <c r="E24" s="845" t="str">
        <f ca="1">IF(ROWS($1:11)&gt;COUNT(Dong12),"",OFFSET(TH!H$1,SMALL(Dong12,ROWS($1:11)),))</f>
        <v/>
      </c>
      <c r="F24" s="448" t="str">
        <f t="shared" ca="1" si="0"/>
        <v/>
      </c>
      <c r="G24" s="449">
        <f ca="1">IF(ROWS($1:11)&gt;COUNT(Dong12),0,IF(MID(OFFSET(TH!D$1,SMALL(Dong12,ROWS($1:11)),),4,1)="N",OFFSET(TH!I$1,SMALL(Dong12,ROWS($1:11)),),0))</f>
        <v>0</v>
      </c>
      <c r="H24" s="449">
        <f ca="1">IF(ROWS($1:11)&gt;COUNT(Dong12),0,IF(MID(OFFSET(TH!D$1,SMALL(Dong12,ROWS($1:11)),),4,1)="X",OFFSET(TH!I$1,SMALL(Dong12,ROWS($1:11)),),0))</f>
        <v>0</v>
      </c>
      <c r="I24" s="450">
        <f t="shared" ca="1" si="1"/>
        <v>0</v>
      </c>
      <c r="J24" s="451"/>
      <c r="K24" s="452"/>
    </row>
    <row r="25" spans="1:11" ht="16.5" customHeight="1">
      <c r="A25" s="453" t="str">
        <f t="shared" ca="1" si="2"/>
        <v/>
      </c>
      <c r="B25" s="448" t="str">
        <f ca="1">IF(ROWS($1:12)&gt;COUNT(Dong12),"",OFFSET(TH!E$1,SMALL(Dong12,ROWS($1:12)),))</f>
        <v/>
      </c>
      <c r="C25" s="556" t="str">
        <f ca="1">IF(ROWS($1:12)&gt;COUNT(Dong12),"",IF(MID(OFFSET(TH!D$1,SMALL(Dong12,ROWS($1:12)),),4,1)="N",OFFSET(TH!D$1,SMALL(Dong12,ROWS($1:12)),),""))</f>
        <v/>
      </c>
      <c r="D25" s="448" t="str">
        <f ca="1">IF(ROWS($1:12)&gt;COUNT(Dong12),"",IF(MID(OFFSET(TH!D$1,SMALL(Dong12,ROWS($1:12)),),4,1)="X",OFFSET(TH!D$1,SMALL(Dong12,ROWS($1:12)),),""))</f>
        <v/>
      </c>
      <c r="E25" s="845" t="str">
        <f ca="1">IF(ROWS($1:12)&gt;COUNT(Dong12),"",OFFSET(TH!H$1,SMALL(Dong12,ROWS($1:12)),))</f>
        <v/>
      </c>
      <c r="F25" s="448" t="str">
        <f t="shared" ca="1" si="0"/>
        <v/>
      </c>
      <c r="G25" s="449">
        <f ca="1">IF(ROWS($1:12)&gt;COUNT(Dong12),0,IF(MID(OFFSET(TH!D$1,SMALL(Dong12,ROWS($1:12)),),4,1)="N",OFFSET(TH!I$1,SMALL(Dong12,ROWS($1:12)),),0))</f>
        <v>0</v>
      </c>
      <c r="H25" s="449">
        <f ca="1">IF(ROWS($1:12)&gt;COUNT(Dong12),0,IF(MID(OFFSET(TH!D$1,SMALL(Dong12,ROWS($1:12)),),4,1)="X",OFFSET(TH!I$1,SMALL(Dong12,ROWS($1:12)),),0))</f>
        <v>0</v>
      </c>
      <c r="I25" s="450">
        <f t="shared" ca="1" si="1"/>
        <v>0</v>
      </c>
      <c r="J25" s="451"/>
      <c r="K25" s="452"/>
    </row>
    <row r="26" spans="1:11" ht="16.5" customHeight="1">
      <c r="A26" s="453" t="str">
        <f t="shared" ca="1" si="2"/>
        <v/>
      </c>
      <c r="B26" s="448" t="str">
        <f ca="1">IF(ROWS($1:13)&gt;COUNT(Dong12),"",OFFSET(TH!E$1,SMALL(Dong12,ROWS($1:13)),))</f>
        <v/>
      </c>
      <c r="C26" s="556" t="str">
        <f ca="1">IF(ROWS($1:13)&gt;COUNT(Dong12),"",IF(MID(OFFSET(TH!D$1,SMALL(Dong12,ROWS($1:13)),),4,1)="N",OFFSET(TH!D$1,SMALL(Dong12,ROWS($1:13)),),""))</f>
        <v/>
      </c>
      <c r="D26" s="448" t="str">
        <f ca="1">IF(ROWS($1:13)&gt;COUNT(Dong12),"",IF(MID(OFFSET(TH!D$1,SMALL(Dong12,ROWS($1:13)),),4,1)="X",OFFSET(TH!D$1,SMALL(Dong12,ROWS($1:13)),),""))</f>
        <v/>
      </c>
      <c r="E26" s="845" t="str">
        <f ca="1">IF(ROWS($1:13)&gt;COUNT(Dong12),"",OFFSET(TH!H$1,SMALL(Dong12,ROWS($1:13)),))</f>
        <v/>
      </c>
      <c r="F26" s="448" t="str">
        <f t="shared" ca="1" si="0"/>
        <v/>
      </c>
      <c r="G26" s="449">
        <f ca="1">IF(ROWS($1:13)&gt;COUNT(Dong12),0,IF(MID(OFFSET(TH!D$1,SMALL(Dong12,ROWS($1:13)),),4,1)="N",OFFSET(TH!I$1,SMALL(Dong12,ROWS($1:13)),),0))</f>
        <v>0</v>
      </c>
      <c r="H26" s="449">
        <f ca="1">IF(ROWS($1:13)&gt;COUNT(Dong12),0,IF(MID(OFFSET(TH!D$1,SMALL(Dong12,ROWS($1:13)),),4,1)="X",OFFSET(TH!I$1,SMALL(Dong12,ROWS($1:13)),),0))</f>
        <v>0</v>
      </c>
      <c r="I26" s="450">
        <f t="shared" ca="1" si="1"/>
        <v>0</v>
      </c>
      <c r="J26" s="451"/>
      <c r="K26" s="452"/>
    </row>
    <row r="27" spans="1:11" ht="16.5" customHeight="1">
      <c r="A27" s="453" t="str">
        <f t="shared" ca="1" si="2"/>
        <v/>
      </c>
      <c r="B27" s="448" t="str">
        <f ca="1">IF(ROWS($1:14)&gt;COUNT(Dong12),"",OFFSET(TH!E$1,SMALL(Dong12,ROWS($1:14)),))</f>
        <v/>
      </c>
      <c r="C27" s="556" t="str">
        <f ca="1">IF(ROWS($1:14)&gt;COUNT(Dong12),"",IF(MID(OFFSET(TH!D$1,SMALL(Dong12,ROWS($1:14)),),4,1)="N",OFFSET(TH!D$1,SMALL(Dong12,ROWS($1:14)),),""))</f>
        <v/>
      </c>
      <c r="D27" s="448" t="str">
        <f ca="1">IF(ROWS($1:14)&gt;COUNT(Dong12),"",IF(MID(OFFSET(TH!D$1,SMALL(Dong12,ROWS($1:14)),),4,1)="X",OFFSET(TH!D$1,SMALL(Dong12,ROWS($1:14)),),""))</f>
        <v/>
      </c>
      <c r="E27" s="845" t="str">
        <f ca="1">IF(ROWS($1:14)&gt;COUNT(Dong12),"",OFFSET(TH!H$1,SMALL(Dong12,ROWS($1:14)),))</f>
        <v/>
      </c>
      <c r="F27" s="448" t="str">
        <f t="shared" ca="1" si="0"/>
        <v/>
      </c>
      <c r="G27" s="449">
        <f ca="1">IF(ROWS($1:14)&gt;COUNT(Dong12),0,IF(MID(OFFSET(TH!D$1,SMALL(Dong12,ROWS($1:14)),),4,1)="N",OFFSET(TH!I$1,SMALL(Dong12,ROWS($1:14)),),0))</f>
        <v>0</v>
      </c>
      <c r="H27" s="449">
        <f ca="1">IF(ROWS($1:14)&gt;COUNT(Dong12),0,IF(MID(OFFSET(TH!D$1,SMALL(Dong12,ROWS($1:14)),),4,1)="X",OFFSET(TH!I$1,SMALL(Dong12,ROWS($1:14)),),0))</f>
        <v>0</v>
      </c>
      <c r="I27" s="450">
        <f t="shared" ca="1" si="1"/>
        <v>0</v>
      </c>
      <c r="J27" s="451"/>
      <c r="K27" s="452"/>
    </row>
    <row r="28" spans="1:11" ht="16.5" customHeight="1">
      <c r="A28" s="453" t="str">
        <f t="shared" ca="1" si="2"/>
        <v/>
      </c>
      <c r="B28" s="448" t="str">
        <f ca="1">IF(ROWS($1:15)&gt;COUNT(Dong12),"",OFFSET(TH!E$1,SMALL(Dong12,ROWS($1:15)),))</f>
        <v/>
      </c>
      <c r="C28" s="556" t="str">
        <f ca="1">IF(ROWS($1:15)&gt;COUNT(Dong12),"",IF(MID(OFFSET(TH!D$1,SMALL(Dong12,ROWS($1:15)),),4,1)="N",OFFSET(TH!D$1,SMALL(Dong12,ROWS($1:15)),),""))</f>
        <v/>
      </c>
      <c r="D28" s="448" t="str">
        <f ca="1">IF(ROWS($1:15)&gt;COUNT(Dong12),"",IF(MID(OFFSET(TH!D$1,SMALL(Dong12,ROWS($1:15)),),4,1)="X",OFFSET(TH!D$1,SMALL(Dong12,ROWS($1:15)),),""))</f>
        <v/>
      </c>
      <c r="E28" s="845" t="str">
        <f ca="1">IF(ROWS($1:15)&gt;COUNT(Dong12),"",OFFSET(TH!H$1,SMALL(Dong12,ROWS($1:15)),))</f>
        <v/>
      </c>
      <c r="F28" s="448" t="str">
        <f t="shared" ca="1" si="0"/>
        <v/>
      </c>
      <c r="G28" s="449">
        <f ca="1">IF(ROWS($1:15)&gt;COUNT(Dong12),0,IF(MID(OFFSET(TH!D$1,SMALL(Dong12,ROWS($1:15)),),4,1)="N",OFFSET(TH!I$1,SMALL(Dong12,ROWS($1:15)),),0))</f>
        <v>0</v>
      </c>
      <c r="H28" s="449">
        <f ca="1">IF(ROWS($1:15)&gt;COUNT(Dong12),0,IF(MID(OFFSET(TH!D$1,SMALL(Dong12,ROWS($1:15)),),4,1)="X",OFFSET(TH!I$1,SMALL(Dong12,ROWS($1:15)),),0))</f>
        <v>0</v>
      </c>
      <c r="I28" s="450">
        <f t="shared" ca="1" si="1"/>
        <v>0</v>
      </c>
      <c r="J28" s="451"/>
      <c r="K28" s="452"/>
    </row>
    <row r="29" spans="1:11" ht="16.5" customHeight="1">
      <c r="A29" s="453" t="str">
        <f t="shared" ca="1" si="2"/>
        <v/>
      </c>
      <c r="B29" s="448" t="str">
        <f ca="1">IF(ROWS($1:16)&gt;COUNT(Dong12),"",OFFSET(TH!E$1,SMALL(Dong12,ROWS($1:16)),))</f>
        <v/>
      </c>
      <c r="C29" s="556" t="str">
        <f ca="1">IF(ROWS($1:16)&gt;COUNT(Dong12),"",IF(MID(OFFSET(TH!D$1,SMALL(Dong12,ROWS($1:16)),),4,1)="N",OFFSET(TH!D$1,SMALL(Dong12,ROWS($1:16)),),""))</f>
        <v/>
      </c>
      <c r="D29" s="448" t="str">
        <f ca="1">IF(ROWS($1:16)&gt;COUNT(Dong12),"",IF(MID(OFFSET(TH!D$1,SMALL(Dong12,ROWS($1:16)),),4,1)="X",OFFSET(TH!D$1,SMALL(Dong12,ROWS($1:16)),),""))</f>
        <v/>
      </c>
      <c r="E29" s="845" t="str">
        <f ca="1">IF(ROWS($1:16)&gt;COUNT(Dong12),"",OFFSET(TH!H$1,SMALL(Dong12,ROWS($1:16)),))</f>
        <v/>
      </c>
      <c r="F29" s="448" t="str">
        <f t="shared" ca="1" si="0"/>
        <v/>
      </c>
      <c r="G29" s="449">
        <f ca="1">IF(ROWS($1:16)&gt;COUNT(Dong12),0,IF(MID(OFFSET(TH!D$1,SMALL(Dong12,ROWS($1:16)),),4,1)="N",OFFSET(TH!I$1,SMALL(Dong12,ROWS($1:16)),),0))</f>
        <v>0</v>
      </c>
      <c r="H29" s="449">
        <f ca="1">IF(ROWS($1:16)&gt;COUNT(Dong12),0,IF(MID(OFFSET(TH!D$1,SMALL(Dong12,ROWS($1:16)),),4,1)="X",OFFSET(TH!I$1,SMALL(Dong12,ROWS($1:16)),),0))</f>
        <v>0</v>
      </c>
      <c r="I29" s="450">
        <f t="shared" ca="1" si="1"/>
        <v>0</v>
      </c>
      <c r="J29" s="451"/>
      <c r="K29" s="452"/>
    </row>
    <row r="30" spans="1:11" ht="16.5" customHeight="1">
      <c r="A30" s="453" t="str">
        <f t="shared" ca="1" si="2"/>
        <v/>
      </c>
      <c r="B30" s="448" t="str">
        <f ca="1">IF(ROWS($1:17)&gt;COUNT(Dong12),"",OFFSET(TH!E$1,SMALL(Dong12,ROWS($1:17)),))</f>
        <v/>
      </c>
      <c r="C30" s="556" t="str">
        <f ca="1">IF(ROWS($1:17)&gt;COUNT(Dong12),"",IF(MID(OFFSET(TH!D$1,SMALL(Dong12,ROWS($1:17)),),4,1)="N",OFFSET(TH!D$1,SMALL(Dong12,ROWS($1:17)),),""))</f>
        <v/>
      </c>
      <c r="D30" s="448" t="str">
        <f ca="1">IF(ROWS($1:17)&gt;COUNT(Dong12),"",IF(MID(OFFSET(TH!D$1,SMALL(Dong12,ROWS($1:17)),),4,1)="X",OFFSET(TH!D$1,SMALL(Dong12,ROWS($1:17)),),""))</f>
        <v/>
      </c>
      <c r="E30" s="845" t="str">
        <f ca="1">IF(ROWS($1:17)&gt;COUNT(Dong12),"",OFFSET(TH!H$1,SMALL(Dong12,ROWS($1:17)),))</f>
        <v/>
      </c>
      <c r="F30" s="448" t="str">
        <f t="shared" ca="1" si="0"/>
        <v/>
      </c>
      <c r="G30" s="449">
        <f ca="1">IF(ROWS($1:17)&gt;COUNT(Dong12),0,IF(MID(OFFSET(TH!D$1,SMALL(Dong12,ROWS($1:17)),),4,1)="N",OFFSET(TH!I$1,SMALL(Dong12,ROWS($1:17)),),0))</f>
        <v>0</v>
      </c>
      <c r="H30" s="449">
        <f ca="1">IF(ROWS($1:17)&gt;COUNT(Dong12),0,IF(MID(OFFSET(TH!D$1,SMALL(Dong12,ROWS($1:17)),),4,1)="X",OFFSET(TH!I$1,SMALL(Dong12,ROWS($1:17)),),0))</f>
        <v>0</v>
      </c>
      <c r="I30" s="450">
        <f t="shared" ca="1" si="1"/>
        <v>0</v>
      </c>
      <c r="J30" s="451"/>
      <c r="K30" s="452"/>
    </row>
    <row r="31" spans="1:11" ht="16.5" customHeight="1">
      <c r="A31" s="454" t="str">
        <f>IF(D31&lt;&gt;"",A21+1,"")</f>
        <v/>
      </c>
      <c r="B31" s="455"/>
      <c r="C31" s="456"/>
      <c r="D31" s="456"/>
      <c r="E31" s="846"/>
      <c r="F31" s="455"/>
      <c r="G31" s="457"/>
      <c r="H31" s="457"/>
      <c r="I31" s="457"/>
      <c r="J31" s="458"/>
      <c r="K31" s="452"/>
    </row>
    <row r="32" spans="1:11" ht="16.5" customHeight="1">
      <c r="A32" s="442"/>
      <c r="B32" s="459"/>
      <c r="C32" s="442"/>
      <c r="D32" s="442"/>
      <c r="E32" s="443" t="s">
        <v>279</v>
      </c>
      <c r="F32" s="460" t="s">
        <v>19</v>
      </c>
      <c r="G32" s="461">
        <f ca="1">SUM(G14:G31)</f>
        <v>400</v>
      </c>
      <c r="H32" s="461">
        <f ca="1">SUM(H14:H31)</f>
        <v>0</v>
      </c>
      <c r="I32" s="461">
        <f ca="1">I13+G32-H32</f>
        <v>400</v>
      </c>
      <c r="J32" s="442" t="s">
        <v>19</v>
      </c>
      <c r="K32" s="462"/>
    </row>
    <row r="33" spans="1:11" ht="12.75" customHeight="1">
      <c r="A33" s="463"/>
      <c r="B33" s="419"/>
      <c r="C33" s="463"/>
      <c r="D33" s="463"/>
      <c r="E33" s="427"/>
      <c r="F33" s="419"/>
      <c r="G33" s="428"/>
      <c r="H33" s="428"/>
      <c r="I33" s="428"/>
      <c r="J33" s="415"/>
      <c r="K33" s="415"/>
    </row>
    <row r="34" spans="1:11" ht="15">
      <c r="A34" s="464" t="s">
        <v>280</v>
      </c>
      <c r="B34" s="464"/>
      <c r="C34" s="465"/>
      <c r="D34" s="465"/>
      <c r="E34" s="427"/>
      <c r="F34" s="419"/>
      <c r="G34" s="428"/>
      <c r="H34" s="428"/>
      <c r="I34" s="428"/>
      <c r="J34" s="415"/>
      <c r="K34" s="415"/>
    </row>
    <row r="35" spans="1:11" ht="15">
      <c r="A35" s="108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084"/>
      <c r="C35" s="1084"/>
      <c r="D35" s="1084"/>
      <c r="E35" s="1084"/>
      <c r="F35" s="419"/>
      <c r="G35" s="428"/>
      <c r="H35" s="428"/>
      <c r="I35" s="428"/>
      <c r="J35" s="415"/>
      <c r="K35" s="415"/>
    </row>
    <row r="36" spans="1:11" ht="15">
      <c r="A36" s="466"/>
      <c r="B36" s="467"/>
      <c r="C36" s="468"/>
      <c r="D36" s="463"/>
      <c r="E36" s="427"/>
      <c r="F36" s="419"/>
      <c r="H36" s="345"/>
      <c r="I36" s="654" t="s">
        <v>242</v>
      </c>
      <c r="J36" s="345"/>
      <c r="K36" s="346"/>
    </row>
    <row r="37" spans="1:11" ht="15" customHeight="1">
      <c r="A37" s="466"/>
      <c r="C37" s="469" t="s">
        <v>281</v>
      </c>
      <c r="D37" s="463"/>
      <c r="E37" s="1085" t="s">
        <v>12</v>
      </c>
      <c r="F37" s="1085"/>
      <c r="G37" s="428"/>
      <c r="I37" s="686" t="s">
        <v>113</v>
      </c>
      <c r="J37" s="417"/>
      <c r="K37" s="466"/>
    </row>
    <row r="38" spans="1:11" ht="15" customHeight="1">
      <c r="A38" s="470"/>
      <c r="C38" s="471" t="s">
        <v>13</v>
      </c>
      <c r="D38" s="472"/>
      <c r="E38" s="1079" t="s">
        <v>13</v>
      </c>
      <c r="F38" s="1079"/>
      <c r="G38" s="428"/>
      <c r="I38" s="687" t="s">
        <v>143</v>
      </c>
      <c r="J38" s="685"/>
      <c r="K38" s="470"/>
    </row>
    <row r="39" spans="1:11" ht="15">
      <c r="A39" s="470"/>
      <c r="C39" s="471"/>
      <c r="D39" s="463"/>
      <c r="E39" s="473"/>
      <c r="F39" s="474"/>
      <c r="G39" s="428"/>
      <c r="H39" s="470"/>
      <c r="I39" s="470"/>
      <c r="J39" s="470"/>
      <c r="K39" s="470"/>
    </row>
    <row r="40" spans="1:11" ht="15">
      <c r="A40" s="470"/>
      <c r="B40" s="471"/>
      <c r="C40" s="470"/>
      <c r="D40" s="463"/>
      <c r="E40" s="473"/>
      <c r="F40" s="474"/>
      <c r="G40" s="428"/>
      <c r="H40" s="470"/>
      <c r="I40" s="470"/>
      <c r="J40" s="470"/>
      <c r="K40" s="470"/>
    </row>
    <row r="41" spans="1:11" ht="15">
      <c r="A41" s="470"/>
      <c r="B41" s="471"/>
      <c r="C41" s="470"/>
      <c r="D41" s="463"/>
      <c r="E41" s="473"/>
      <c r="F41" s="474"/>
      <c r="G41" s="428"/>
      <c r="H41" s="470"/>
      <c r="I41" s="470"/>
      <c r="J41" s="470"/>
      <c r="K41" s="470"/>
    </row>
    <row r="46" spans="1:11" ht="15">
      <c r="C46" s="688" t="s">
        <v>391</v>
      </c>
      <c r="H46" s="684"/>
      <c r="I46" s="683" t="s">
        <v>107</v>
      </c>
      <c r="J46" s="684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104"/>
  <sheetViews>
    <sheetView workbookViewId="0">
      <pane xSplit="2" ySplit="1" topLeftCell="C2" activePane="bottomRight" state="frozen"/>
      <selection activeCell="C33" sqref="C33"/>
      <selection pane="topRight" activeCell="C33" sqref="C33"/>
      <selection pane="bottomLeft" activeCell="C33" sqref="C33"/>
      <selection pane="bottomRight" activeCell="G74" sqref="G74"/>
    </sheetView>
  </sheetViews>
  <sheetFormatPr defaultColWidth="10.28515625" defaultRowHeight="12.75"/>
  <cols>
    <col min="1" max="1" width="4.7109375" style="481" customWidth="1"/>
    <col min="2" max="2" width="23" style="481" customWidth="1"/>
    <col min="3" max="3" width="14.28515625" style="481" customWidth="1"/>
    <col min="4" max="5" width="13.7109375" style="481" customWidth="1"/>
    <col min="6" max="6" width="11.5703125" style="481" customWidth="1"/>
    <col min="7" max="8" width="13.7109375" style="481" customWidth="1"/>
    <col min="9" max="9" width="11.85546875" style="481" customWidth="1"/>
    <col min="10" max="10" width="13.7109375" style="481" hidden="1" customWidth="1"/>
    <col min="11" max="11" width="14.5703125" style="481" customWidth="1"/>
    <col min="12" max="12" width="7.28515625" style="481" customWidth="1"/>
    <col min="13" max="13" width="7.7109375" style="481" customWidth="1"/>
    <col min="14" max="14" width="3.42578125" style="482" customWidth="1"/>
    <col min="15" max="15" width="23" style="481" customWidth="1"/>
    <col min="16" max="16" width="10.140625" style="483" customWidth="1"/>
    <col min="17" max="17" width="6.42578125" style="483" customWidth="1"/>
    <col min="18" max="19" width="7.5703125" style="484" customWidth="1"/>
    <col min="20" max="20" width="10.28515625" style="481" customWidth="1"/>
    <col min="21" max="21" width="15.85546875" style="481" customWidth="1"/>
    <col min="22" max="22" width="10.140625" style="483" customWidth="1"/>
    <col min="23" max="24" width="7.5703125" style="484" customWidth="1"/>
    <col min="25" max="25" width="9.7109375" style="481" customWidth="1"/>
    <col min="26" max="16384" width="10.28515625" style="481"/>
  </cols>
  <sheetData>
    <row r="1" spans="1:27">
      <c r="B1" s="481">
        <v>1</v>
      </c>
      <c r="C1" s="481">
        <v>5</v>
      </c>
      <c r="D1" s="481">
        <v>6</v>
      </c>
      <c r="E1" s="481">
        <v>7</v>
      </c>
      <c r="F1" s="481">
        <v>8</v>
      </c>
      <c r="G1" s="481">
        <v>9</v>
      </c>
      <c r="H1" s="481">
        <v>10</v>
      </c>
      <c r="I1" s="481">
        <v>11</v>
      </c>
      <c r="J1" s="481">
        <v>12</v>
      </c>
      <c r="K1" s="481">
        <v>13</v>
      </c>
      <c r="L1" s="481">
        <v>14</v>
      </c>
      <c r="M1" s="481">
        <v>15</v>
      </c>
    </row>
    <row r="2" spans="1:27" ht="18" customHeight="1">
      <c r="A2" s="485" t="s">
        <v>282</v>
      </c>
      <c r="B2" s="485"/>
      <c r="C2" s="484"/>
      <c r="D2" s="484"/>
      <c r="E2" s="484"/>
      <c r="F2" s="484"/>
      <c r="G2" s="484"/>
      <c r="H2" s="484"/>
      <c r="I2" s="486"/>
      <c r="J2" s="484"/>
      <c r="K2" s="484"/>
      <c r="L2" s="487"/>
      <c r="M2" s="484"/>
      <c r="N2" s="488"/>
      <c r="O2" s="484"/>
      <c r="P2" s="489"/>
      <c r="Q2" s="489"/>
      <c r="U2" s="484"/>
      <c r="V2" s="489"/>
    </row>
    <row r="3" spans="1:27" ht="18.75" customHeight="1">
      <c r="A3" s="490" t="s">
        <v>1556</v>
      </c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88"/>
      <c r="O3" s="484"/>
      <c r="P3" s="489"/>
      <c r="Q3" s="489"/>
      <c r="U3" s="484"/>
      <c r="V3" s="489"/>
    </row>
    <row r="4" spans="1:27" ht="18.75" customHeight="1">
      <c r="A4" s="491"/>
      <c r="B4" s="491"/>
      <c r="C4" s="491"/>
      <c r="D4" s="491"/>
      <c r="E4" s="491"/>
      <c r="F4" s="491"/>
      <c r="G4" s="491"/>
      <c r="H4" s="491"/>
      <c r="I4" s="490"/>
      <c r="J4" s="491"/>
      <c r="K4" s="491"/>
      <c r="L4" s="492"/>
      <c r="M4" s="491"/>
      <c r="N4" s="488"/>
      <c r="O4" s="484"/>
      <c r="P4" s="489"/>
      <c r="Q4" s="489"/>
      <c r="U4" s="484"/>
      <c r="V4" s="489"/>
    </row>
    <row r="5" spans="1:27" ht="12.75" customHeight="1">
      <c r="A5" s="493"/>
      <c r="B5" s="493"/>
      <c r="C5" s="493"/>
      <c r="D5" s="493"/>
      <c r="E5" s="493"/>
      <c r="F5" s="493"/>
      <c r="G5" s="493"/>
      <c r="H5" s="493"/>
      <c r="I5" s="493"/>
      <c r="J5" s="493"/>
      <c r="K5" s="493"/>
      <c r="L5" s="494"/>
      <c r="M5" s="493"/>
      <c r="N5" s="488"/>
      <c r="O5" s="495"/>
      <c r="P5" s="1088"/>
      <c r="Q5" s="1088"/>
      <c r="R5" s="1088"/>
      <c r="S5" s="911"/>
      <c r="T5" s="1088"/>
      <c r="U5" s="1088"/>
      <c r="V5" s="1088"/>
      <c r="W5" s="1088"/>
      <c r="X5" s="1088"/>
      <c r="Y5" s="1088"/>
      <c r="Z5" s="495"/>
      <c r="AA5" s="495"/>
    </row>
    <row r="6" spans="1:27" s="501" customFormat="1" ht="30.75" customHeight="1">
      <c r="A6" s="496" t="s">
        <v>35</v>
      </c>
      <c r="B6" s="496" t="s">
        <v>283</v>
      </c>
      <c r="C6" s="497" t="s">
        <v>287</v>
      </c>
      <c r="D6" s="497" t="s">
        <v>1557</v>
      </c>
      <c r="E6" s="497" t="s">
        <v>288</v>
      </c>
      <c r="F6" s="497" t="s">
        <v>1558</v>
      </c>
      <c r="G6" s="497" t="s">
        <v>289</v>
      </c>
      <c r="H6" s="498" t="s">
        <v>290</v>
      </c>
      <c r="I6" s="497" t="s">
        <v>1559</v>
      </c>
      <c r="J6" s="498" t="s">
        <v>291</v>
      </c>
      <c r="K6" s="497" t="s">
        <v>292</v>
      </c>
      <c r="L6" s="499" t="s">
        <v>285</v>
      </c>
      <c r="M6" s="497" t="s">
        <v>293</v>
      </c>
      <c r="N6" s="500"/>
      <c r="O6" s="496" t="s">
        <v>283</v>
      </c>
      <c r="P6" s="497" t="s">
        <v>276</v>
      </c>
      <c r="Q6" s="497" t="s">
        <v>284</v>
      </c>
      <c r="R6" s="497" t="s">
        <v>239</v>
      </c>
      <c r="S6" s="497" t="s">
        <v>286</v>
      </c>
      <c r="T6" s="497" t="s">
        <v>294</v>
      </c>
      <c r="U6" s="496" t="s">
        <v>283</v>
      </c>
      <c r="V6" s="497" t="s">
        <v>276</v>
      </c>
      <c r="W6" s="497" t="s">
        <v>239</v>
      </c>
      <c r="X6" s="497" t="s">
        <v>286</v>
      </c>
      <c r="Y6" s="496" t="s">
        <v>294</v>
      </c>
    </row>
    <row r="7" spans="1:27">
      <c r="A7" s="502" t="str">
        <f>IF(B7&lt;&gt;"",ROW()-(ROW()-1),"")</f>
        <v/>
      </c>
      <c r="B7" s="509"/>
      <c r="C7" s="503">
        <f>T7</f>
        <v>0</v>
      </c>
      <c r="D7" s="399">
        <f t="shared" ref="D7:I7" si="0">IF($L$20&lt;&gt;0,D$20/$L$20*$L7,0)</f>
        <v>0</v>
      </c>
      <c r="E7" s="399">
        <f t="shared" si="0"/>
        <v>0</v>
      </c>
      <c r="F7" s="399">
        <f t="shared" si="0"/>
        <v>0</v>
      </c>
      <c r="G7" s="399">
        <f t="shared" si="0"/>
        <v>0</v>
      </c>
      <c r="H7" s="399">
        <f t="shared" si="0"/>
        <v>0</v>
      </c>
      <c r="I7" s="399">
        <f t="shared" si="0"/>
        <v>0</v>
      </c>
      <c r="J7" s="399"/>
      <c r="K7" s="503">
        <f>C7+E7+D7+G7+I7+H7+J7</f>
        <v>0</v>
      </c>
      <c r="L7" s="399"/>
      <c r="M7" s="399" t="str">
        <f>IF(L7&lt;&gt;"",K7/L7,"")</f>
        <v/>
      </c>
      <c r="N7" s="504"/>
      <c r="O7" s="505"/>
      <c r="P7" s="542"/>
      <c r="Q7" s="542"/>
      <c r="R7" s="191"/>
      <c r="S7" s="191"/>
      <c r="T7" s="503">
        <f>ROUND(R7*S7,0)</f>
        <v>0</v>
      </c>
      <c r="U7" s="505" t="s">
        <v>458</v>
      </c>
      <c r="V7" s="542">
        <v>40955</v>
      </c>
      <c r="W7" s="191">
        <v>100</v>
      </c>
      <c r="X7" s="507">
        <v>25000</v>
      </c>
      <c r="Y7" s="503">
        <f>W7*X7</f>
        <v>2500000</v>
      </c>
    </row>
    <row r="8" spans="1:27">
      <c r="A8" s="502" t="str">
        <f t="shared" ref="A8:A18" si="1">IF(B8&lt;&gt;"",ROW()-(ROW()-1),"")</f>
        <v/>
      </c>
      <c r="B8" s="509"/>
      <c r="C8" s="503">
        <f t="shared" ref="C8:C18" si="2">T8</f>
        <v>0</v>
      </c>
      <c r="D8" s="399">
        <f t="shared" ref="D8:I18" si="3">IF($L$20&lt;&gt;0,D$20/$L$20*$L8,0)</f>
        <v>0</v>
      </c>
      <c r="E8" s="399">
        <f t="shared" si="3"/>
        <v>0</v>
      </c>
      <c r="F8" s="399">
        <f t="shared" si="3"/>
        <v>0</v>
      </c>
      <c r="G8" s="399">
        <f t="shared" si="3"/>
        <v>0</v>
      </c>
      <c r="H8" s="399">
        <f t="shared" si="3"/>
        <v>0</v>
      </c>
      <c r="I8" s="399">
        <f t="shared" si="3"/>
        <v>0</v>
      </c>
      <c r="J8" s="399"/>
      <c r="K8" s="503">
        <f t="shared" ref="K8:K18" si="4">C8+E8+D8+G8+I8+H8+J8</f>
        <v>0</v>
      </c>
      <c r="L8" s="399"/>
      <c r="M8" s="399" t="str">
        <f t="shared" ref="M8:M18" si="5">IF(L8&lt;&gt;"",K8/L8,"")</f>
        <v/>
      </c>
      <c r="N8" s="504"/>
      <c r="O8" s="505"/>
      <c r="P8" s="542"/>
      <c r="Q8" s="542"/>
      <c r="R8" s="191"/>
      <c r="S8" s="191"/>
      <c r="T8" s="503">
        <f t="shared" ref="T8:T18" si="6">ROUND(R8*S8,0)</f>
        <v>0</v>
      </c>
      <c r="U8" s="509" t="s">
        <v>411</v>
      </c>
      <c r="V8" s="542">
        <v>40941</v>
      </c>
      <c r="W8" s="191">
        <v>20</v>
      </c>
      <c r="X8" s="191">
        <v>42000</v>
      </c>
      <c r="Y8" s="503">
        <f t="shared" ref="Y8:Y18" si="7">W8*X8</f>
        <v>840000</v>
      </c>
    </row>
    <row r="9" spans="1:27">
      <c r="A9" s="502" t="str">
        <f t="shared" si="1"/>
        <v/>
      </c>
      <c r="B9" s="509"/>
      <c r="C9" s="503">
        <f t="shared" si="2"/>
        <v>0</v>
      </c>
      <c r="D9" s="399">
        <f t="shared" si="3"/>
        <v>0</v>
      </c>
      <c r="E9" s="399">
        <f t="shared" si="3"/>
        <v>0</v>
      </c>
      <c r="F9" s="399">
        <f t="shared" si="3"/>
        <v>0</v>
      </c>
      <c r="G9" s="399">
        <f t="shared" si="3"/>
        <v>0</v>
      </c>
      <c r="H9" s="399">
        <f t="shared" si="3"/>
        <v>0</v>
      </c>
      <c r="I9" s="399">
        <f t="shared" si="3"/>
        <v>0</v>
      </c>
      <c r="J9" s="399"/>
      <c r="K9" s="503">
        <f t="shared" si="4"/>
        <v>0</v>
      </c>
      <c r="L9" s="399"/>
      <c r="M9" s="399" t="str">
        <f t="shared" si="5"/>
        <v/>
      </c>
      <c r="N9" s="504"/>
      <c r="O9" s="505"/>
      <c r="P9" s="542"/>
      <c r="Q9" s="542"/>
      <c r="R9" s="191"/>
      <c r="S9" s="191"/>
      <c r="T9" s="503">
        <f t="shared" si="6"/>
        <v>0</v>
      </c>
      <c r="U9" s="509" t="s">
        <v>1561</v>
      </c>
      <c r="V9" s="542"/>
      <c r="W9" s="191"/>
      <c r="X9" s="191"/>
      <c r="Y9" s="503">
        <f t="shared" si="7"/>
        <v>0</v>
      </c>
    </row>
    <row r="10" spans="1:27">
      <c r="A10" s="502" t="str">
        <f t="shared" si="1"/>
        <v/>
      </c>
      <c r="B10" s="509"/>
      <c r="C10" s="503">
        <f t="shared" si="2"/>
        <v>0</v>
      </c>
      <c r="D10" s="399">
        <f t="shared" si="3"/>
        <v>0</v>
      </c>
      <c r="E10" s="399">
        <f t="shared" si="3"/>
        <v>0</v>
      </c>
      <c r="F10" s="399">
        <f t="shared" si="3"/>
        <v>0</v>
      </c>
      <c r="G10" s="399">
        <f t="shared" si="3"/>
        <v>0</v>
      </c>
      <c r="H10" s="399">
        <f t="shared" si="3"/>
        <v>0</v>
      </c>
      <c r="I10" s="399">
        <f t="shared" si="3"/>
        <v>0</v>
      </c>
      <c r="J10" s="399"/>
      <c r="K10" s="503">
        <f t="shared" si="4"/>
        <v>0</v>
      </c>
      <c r="L10" s="399"/>
      <c r="M10" s="399" t="str">
        <f t="shared" si="5"/>
        <v/>
      </c>
      <c r="N10" s="504"/>
      <c r="O10" s="505"/>
      <c r="P10" s="542"/>
      <c r="Q10" s="542"/>
      <c r="R10" s="191"/>
      <c r="S10" s="191"/>
      <c r="T10" s="503">
        <f t="shared" si="6"/>
        <v>0</v>
      </c>
      <c r="U10" s="505"/>
      <c r="V10" s="542"/>
      <c r="W10" s="191"/>
      <c r="X10" s="191"/>
      <c r="Y10" s="503">
        <f t="shared" si="7"/>
        <v>0</v>
      </c>
    </row>
    <row r="11" spans="1:27">
      <c r="A11" s="502" t="str">
        <f t="shared" si="1"/>
        <v/>
      </c>
      <c r="B11" s="509"/>
      <c r="C11" s="503">
        <f t="shared" si="2"/>
        <v>0</v>
      </c>
      <c r="D11" s="399">
        <f t="shared" si="3"/>
        <v>0</v>
      </c>
      <c r="E11" s="399">
        <f t="shared" si="3"/>
        <v>0</v>
      </c>
      <c r="F11" s="399">
        <f t="shared" si="3"/>
        <v>0</v>
      </c>
      <c r="G11" s="399">
        <f t="shared" si="3"/>
        <v>0</v>
      </c>
      <c r="H11" s="399">
        <f t="shared" si="3"/>
        <v>0</v>
      </c>
      <c r="I11" s="399">
        <f t="shared" si="3"/>
        <v>0</v>
      </c>
      <c r="J11" s="399"/>
      <c r="K11" s="503">
        <f t="shared" si="4"/>
        <v>0</v>
      </c>
      <c r="L11" s="399"/>
      <c r="M11" s="399" t="str">
        <f t="shared" si="5"/>
        <v/>
      </c>
      <c r="N11" s="504"/>
      <c r="O11" s="505"/>
      <c r="P11" s="542"/>
      <c r="Q11" s="542"/>
      <c r="R11" s="191"/>
      <c r="S11" s="191"/>
      <c r="T11" s="503">
        <f t="shared" si="6"/>
        <v>0</v>
      </c>
      <c r="U11" s="505"/>
      <c r="V11" s="542"/>
      <c r="W11" s="191"/>
      <c r="X11" s="191"/>
      <c r="Y11" s="503">
        <f t="shared" si="7"/>
        <v>0</v>
      </c>
    </row>
    <row r="12" spans="1:27">
      <c r="A12" s="502" t="str">
        <f t="shared" si="1"/>
        <v/>
      </c>
      <c r="B12" s="509"/>
      <c r="C12" s="503">
        <f t="shared" si="2"/>
        <v>0</v>
      </c>
      <c r="D12" s="399">
        <f t="shared" si="3"/>
        <v>0</v>
      </c>
      <c r="E12" s="399">
        <f t="shared" si="3"/>
        <v>0</v>
      </c>
      <c r="F12" s="399">
        <f t="shared" si="3"/>
        <v>0</v>
      </c>
      <c r="G12" s="399">
        <f t="shared" si="3"/>
        <v>0</v>
      </c>
      <c r="H12" s="399">
        <f t="shared" si="3"/>
        <v>0</v>
      </c>
      <c r="I12" s="399">
        <f t="shared" si="3"/>
        <v>0</v>
      </c>
      <c r="J12" s="399"/>
      <c r="K12" s="503">
        <f t="shared" si="4"/>
        <v>0</v>
      </c>
      <c r="L12" s="399"/>
      <c r="M12" s="399" t="str">
        <f t="shared" si="5"/>
        <v/>
      </c>
      <c r="N12" s="504"/>
      <c r="O12" s="505"/>
      <c r="P12" s="542"/>
      <c r="Q12" s="542"/>
      <c r="R12" s="191"/>
      <c r="S12" s="191"/>
      <c r="T12" s="503">
        <f t="shared" si="6"/>
        <v>0</v>
      </c>
      <c r="U12" s="505"/>
      <c r="V12" s="542"/>
      <c r="W12" s="191"/>
      <c r="X12" s="191"/>
      <c r="Y12" s="503">
        <f t="shared" si="7"/>
        <v>0</v>
      </c>
    </row>
    <row r="13" spans="1:27">
      <c r="A13" s="502" t="str">
        <f t="shared" si="1"/>
        <v/>
      </c>
      <c r="B13" s="509"/>
      <c r="C13" s="503">
        <f t="shared" si="2"/>
        <v>0</v>
      </c>
      <c r="D13" s="399">
        <f t="shared" si="3"/>
        <v>0</v>
      </c>
      <c r="E13" s="399">
        <f t="shared" si="3"/>
        <v>0</v>
      </c>
      <c r="F13" s="399">
        <f t="shared" si="3"/>
        <v>0</v>
      </c>
      <c r="G13" s="399">
        <f t="shared" si="3"/>
        <v>0</v>
      </c>
      <c r="H13" s="399">
        <f t="shared" si="3"/>
        <v>0</v>
      </c>
      <c r="I13" s="399">
        <f t="shared" si="3"/>
        <v>0</v>
      </c>
      <c r="J13" s="399"/>
      <c r="K13" s="503">
        <f t="shared" si="4"/>
        <v>0</v>
      </c>
      <c r="L13" s="399"/>
      <c r="M13" s="399" t="str">
        <f t="shared" si="5"/>
        <v/>
      </c>
      <c r="N13" s="504"/>
      <c r="O13" s="505"/>
      <c r="P13" s="542"/>
      <c r="Q13" s="542"/>
      <c r="R13" s="191"/>
      <c r="S13" s="191"/>
      <c r="T13" s="503">
        <f t="shared" si="6"/>
        <v>0</v>
      </c>
      <c r="U13" s="505"/>
      <c r="V13" s="542"/>
      <c r="W13" s="191"/>
      <c r="X13" s="191"/>
      <c r="Y13" s="503">
        <f t="shared" si="7"/>
        <v>0</v>
      </c>
    </row>
    <row r="14" spans="1:27">
      <c r="A14" s="502" t="str">
        <f t="shared" si="1"/>
        <v/>
      </c>
      <c r="B14" s="509"/>
      <c r="C14" s="503">
        <f t="shared" si="2"/>
        <v>0</v>
      </c>
      <c r="D14" s="399">
        <f t="shared" si="3"/>
        <v>0</v>
      </c>
      <c r="E14" s="399">
        <f t="shared" si="3"/>
        <v>0</v>
      </c>
      <c r="F14" s="399">
        <f t="shared" si="3"/>
        <v>0</v>
      </c>
      <c r="G14" s="399">
        <f t="shared" si="3"/>
        <v>0</v>
      </c>
      <c r="H14" s="399">
        <f t="shared" si="3"/>
        <v>0</v>
      </c>
      <c r="I14" s="399">
        <f t="shared" si="3"/>
        <v>0</v>
      </c>
      <c r="J14" s="399"/>
      <c r="K14" s="503">
        <f t="shared" si="4"/>
        <v>0</v>
      </c>
      <c r="L14" s="399"/>
      <c r="M14" s="399" t="str">
        <f t="shared" si="5"/>
        <v/>
      </c>
      <c r="N14" s="504"/>
      <c r="O14" s="505"/>
      <c r="P14" s="542"/>
      <c r="Q14" s="542"/>
      <c r="R14" s="191"/>
      <c r="S14" s="191"/>
      <c r="T14" s="503">
        <f t="shared" si="6"/>
        <v>0</v>
      </c>
      <c r="U14" s="505"/>
      <c r="V14" s="542"/>
      <c r="W14" s="191"/>
      <c r="X14" s="191"/>
      <c r="Y14" s="503">
        <f t="shared" si="7"/>
        <v>0</v>
      </c>
    </row>
    <row r="15" spans="1:27">
      <c r="A15" s="502" t="str">
        <f t="shared" si="1"/>
        <v/>
      </c>
      <c r="B15" s="509"/>
      <c r="C15" s="503">
        <f t="shared" si="2"/>
        <v>0</v>
      </c>
      <c r="D15" s="399">
        <f t="shared" si="3"/>
        <v>0</v>
      </c>
      <c r="E15" s="399">
        <f t="shared" si="3"/>
        <v>0</v>
      </c>
      <c r="F15" s="399">
        <f t="shared" si="3"/>
        <v>0</v>
      </c>
      <c r="G15" s="399">
        <f t="shared" si="3"/>
        <v>0</v>
      </c>
      <c r="H15" s="399">
        <f t="shared" si="3"/>
        <v>0</v>
      </c>
      <c r="I15" s="399">
        <f t="shared" si="3"/>
        <v>0</v>
      </c>
      <c r="J15" s="399"/>
      <c r="K15" s="503">
        <f t="shared" si="4"/>
        <v>0</v>
      </c>
      <c r="L15" s="399"/>
      <c r="M15" s="399" t="str">
        <f t="shared" si="5"/>
        <v/>
      </c>
      <c r="N15" s="504"/>
      <c r="O15" s="505"/>
      <c r="P15" s="542"/>
      <c r="Q15" s="542"/>
      <c r="R15" s="191"/>
      <c r="S15" s="191"/>
      <c r="T15" s="503">
        <f t="shared" si="6"/>
        <v>0</v>
      </c>
      <c r="U15" s="505"/>
      <c r="V15" s="542"/>
      <c r="W15" s="191"/>
      <c r="X15" s="191"/>
      <c r="Y15" s="503">
        <f t="shared" si="7"/>
        <v>0</v>
      </c>
    </row>
    <row r="16" spans="1:27">
      <c r="A16" s="502" t="str">
        <f t="shared" si="1"/>
        <v/>
      </c>
      <c r="B16" s="509"/>
      <c r="C16" s="503">
        <f t="shared" si="2"/>
        <v>0</v>
      </c>
      <c r="D16" s="399">
        <f t="shared" si="3"/>
        <v>0</v>
      </c>
      <c r="E16" s="399">
        <f t="shared" si="3"/>
        <v>0</v>
      </c>
      <c r="F16" s="399">
        <f t="shared" si="3"/>
        <v>0</v>
      </c>
      <c r="G16" s="399">
        <f t="shared" si="3"/>
        <v>0</v>
      </c>
      <c r="H16" s="399">
        <f t="shared" si="3"/>
        <v>0</v>
      </c>
      <c r="I16" s="399">
        <f t="shared" si="3"/>
        <v>0</v>
      </c>
      <c r="J16" s="399"/>
      <c r="K16" s="503">
        <f t="shared" si="4"/>
        <v>0</v>
      </c>
      <c r="L16" s="399"/>
      <c r="M16" s="399" t="str">
        <f t="shared" si="5"/>
        <v/>
      </c>
      <c r="N16" s="504"/>
      <c r="O16" s="505"/>
      <c r="P16" s="542"/>
      <c r="Q16" s="542"/>
      <c r="R16" s="191"/>
      <c r="S16" s="191"/>
      <c r="T16" s="503">
        <f t="shared" si="6"/>
        <v>0</v>
      </c>
      <c r="U16" s="505"/>
      <c r="V16" s="542"/>
      <c r="W16" s="191"/>
      <c r="X16" s="191"/>
      <c r="Y16" s="503">
        <f t="shared" si="7"/>
        <v>0</v>
      </c>
    </row>
    <row r="17" spans="1:26">
      <c r="A17" s="502" t="str">
        <f t="shared" si="1"/>
        <v/>
      </c>
      <c r="B17" s="509"/>
      <c r="C17" s="503">
        <f t="shared" si="2"/>
        <v>0</v>
      </c>
      <c r="D17" s="399">
        <f t="shared" si="3"/>
        <v>0</v>
      </c>
      <c r="E17" s="399">
        <f t="shared" si="3"/>
        <v>0</v>
      </c>
      <c r="F17" s="399">
        <f t="shared" si="3"/>
        <v>0</v>
      </c>
      <c r="G17" s="399">
        <f t="shared" si="3"/>
        <v>0</v>
      </c>
      <c r="H17" s="399">
        <f t="shared" si="3"/>
        <v>0</v>
      </c>
      <c r="I17" s="399">
        <f t="shared" si="3"/>
        <v>0</v>
      </c>
      <c r="J17" s="399"/>
      <c r="K17" s="503">
        <f t="shared" si="4"/>
        <v>0</v>
      </c>
      <c r="L17" s="399"/>
      <c r="M17" s="399" t="str">
        <f t="shared" si="5"/>
        <v/>
      </c>
      <c r="N17" s="504"/>
      <c r="O17" s="505"/>
      <c r="P17" s="542"/>
      <c r="Q17" s="542"/>
      <c r="R17" s="191"/>
      <c r="S17" s="191"/>
      <c r="T17" s="503">
        <f t="shared" si="6"/>
        <v>0</v>
      </c>
      <c r="U17" s="505"/>
      <c r="V17" s="542"/>
      <c r="W17" s="191"/>
      <c r="X17" s="191"/>
      <c r="Y17" s="503">
        <f t="shared" si="7"/>
        <v>0</v>
      </c>
    </row>
    <row r="18" spans="1:26">
      <c r="A18" s="502" t="str">
        <f t="shared" si="1"/>
        <v/>
      </c>
      <c r="B18" s="509"/>
      <c r="C18" s="503">
        <f t="shared" si="2"/>
        <v>0</v>
      </c>
      <c r="D18" s="399">
        <f t="shared" si="3"/>
        <v>0</v>
      </c>
      <c r="E18" s="399">
        <f t="shared" si="3"/>
        <v>0</v>
      </c>
      <c r="F18" s="399">
        <f t="shared" si="3"/>
        <v>0</v>
      </c>
      <c r="G18" s="399">
        <f t="shared" si="3"/>
        <v>0</v>
      </c>
      <c r="H18" s="399">
        <f t="shared" si="3"/>
        <v>0</v>
      </c>
      <c r="I18" s="399">
        <f t="shared" si="3"/>
        <v>0</v>
      </c>
      <c r="J18" s="399"/>
      <c r="K18" s="503">
        <f t="shared" si="4"/>
        <v>0</v>
      </c>
      <c r="L18" s="399"/>
      <c r="M18" s="399" t="str">
        <f t="shared" si="5"/>
        <v/>
      </c>
      <c r="N18" s="504"/>
      <c r="O18" s="505"/>
      <c r="P18" s="542"/>
      <c r="Q18" s="542"/>
      <c r="R18" s="191"/>
      <c r="S18" s="191"/>
      <c r="T18" s="503">
        <f t="shared" si="6"/>
        <v>0</v>
      </c>
      <c r="U18" s="505"/>
      <c r="V18" s="542"/>
      <c r="W18" s="191"/>
      <c r="X18" s="191"/>
      <c r="Y18" s="503">
        <f t="shared" si="7"/>
        <v>0</v>
      </c>
    </row>
    <row r="19" spans="1:26" s="513" customFormat="1">
      <c r="A19" s="502"/>
      <c r="B19" s="509"/>
      <c r="C19" s="503"/>
      <c r="D19" s="399"/>
      <c r="E19" s="399"/>
      <c r="F19" s="399"/>
      <c r="G19" s="399"/>
      <c r="H19" s="399"/>
      <c r="I19" s="399"/>
      <c r="J19" s="399"/>
      <c r="K19" s="503"/>
      <c r="L19" s="508"/>
      <c r="M19" s="399"/>
      <c r="N19" s="512"/>
      <c r="O19" s="521"/>
      <c r="P19" s="506"/>
      <c r="Q19" s="916"/>
      <c r="R19" s="522"/>
      <c r="S19" s="522"/>
      <c r="T19" s="522"/>
      <c r="U19" s="521"/>
      <c r="V19" s="506"/>
      <c r="W19" s="522"/>
      <c r="X19" s="522"/>
      <c r="Y19" s="511"/>
    </row>
    <row r="20" spans="1:26" s="485" customFormat="1">
      <c r="A20" s="514"/>
      <c r="B20" s="515" t="s">
        <v>295</v>
      </c>
      <c r="C20" s="516">
        <f>SUM(C7:C19)</f>
        <v>0</v>
      </c>
      <c r="D20" s="517"/>
      <c r="E20" s="517">
        <f>$Y$20</f>
        <v>3340000</v>
      </c>
      <c r="F20" s="517">
        <v>29330000</v>
      </c>
      <c r="G20" s="517"/>
      <c r="H20" s="517">
        <v>18250000</v>
      </c>
      <c r="I20" s="516">
        <v>1522273</v>
      </c>
      <c r="J20" s="516">
        <f>ROUND(SUM(J7:J19),0)</f>
        <v>0</v>
      </c>
      <c r="K20" s="516">
        <f>ROUND(SUM(K7:K19),0)</f>
        <v>0</v>
      </c>
      <c r="L20" s="516">
        <f>ROUND(SUM(L7:L19),0)</f>
        <v>0</v>
      </c>
      <c r="M20" s="516"/>
      <c r="N20" s="488"/>
      <c r="O20" s="537"/>
      <c r="P20" s="538"/>
      <c r="Q20" s="538"/>
      <c r="R20" s="523">
        <f>SUM(R7:R19)</f>
        <v>0</v>
      </c>
      <c r="S20" s="523"/>
      <c r="T20" s="523">
        <f>SUM(T7:T19)</f>
        <v>0</v>
      </c>
      <c r="U20" s="1089"/>
      <c r="V20" s="1090"/>
      <c r="W20" s="1091"/>
      <c r="X20" s="912"/>
      <c r="Y20" s="523">
        <f>SUM(Y7:Y19)</f>
        <v>3340000</v>
      </c>
    </row>
    <row r="21" spans="1:26" s="485" customFormat="1">
      <c r="A21" s="518"/>
      <c r="B21" s="519"/>
      <c r="C21" s="520"/>
      <c r="D21" s="520"/>
      <c r="E21" s="490"/>
      <c r="F21" s="490"/>
      <c r="G21" s="520"/>
      <c r="H21" s="520"/>
      <c r="I21" s="520"/>
      <c r="J21" s="520"/>
      <c r="K21" s="520"/>
      <c r="L21" s="520"/>
      <c r="M21" s="520"/>
      <c r="N21" s="488"/>
      <c r="O21" s="526"/>
      <c r="P21" s="527"/>
      <c r="Q21" s="527"/>
      <c r="R21" s="911"/>
      <c r="S21" s="911"/>
      <c r="T21" s="528"/>
      <c r="U21" s="526"/>
      <c r="V21" s="527"/>
      <c r="W21" s="911"/>
      <c r="X21" s="911"/>
      <c r="Y21" s="481"/>
    </row>
    <row r="22" spans="1:26">
      <c r="C22" s="495"/>
      <c r="D22" s="495"/>
      <c r="E22" s="524"/>
      <c r="F22" s="524"/>
      <c r="K22" s="525"/>
      <c r="L22" s="520"/>
      <c r="O22" s="526"/>
      <c r="P22" s="527"/>
      <c r="Q22" s="527"/>
      <c r="R22" s="911"/>
      <c r="S22" s="911"/>
      <c r="T22" s="528"/>
      <c r="U22" s="526"/>
      <c r="V22" s="527"/>
      <c r="W22" s="911"/>
      <c r="X22" s="911"/>
    </row>
    <row r="23" spans="1:26" ht="18" customHeight="1">
      <c r="A23" s="485" t="s">
        <v>282</v>
      </c>
      <c r="B23" s="485"/>
      <c r="C23" s="484"/>
      <c r="D23" s="484"/>
      <c r="E23" s="484"/>
      <c r="F23" s="484"/>
      <c r="G23" s="484"/>
      <c r="H23" s="484"/>
      <c r="I23" s="486"/>
      <c r="J23" s="484"/>
      <c r="K23" s="484"/>
      <c r="L23" s="487"/>
      <c r="M23" s="484"/>
      <c r="N23" s="488"/>
      <c r="O23" s="526"/>
      <c r="P23" s="527"/>
      <c r="Q23" s="527"/>
      <c r="R23" s="911"/>
      <c r="S23" s="911"/>
      <c r="T23" s="528"/>
      <c r="U23" s="526"/>
      <c r="V23" s="527"/>
      <c r="W23" s="911"/>
      <c r="X23" s="911"/>
      <c r="Z23" s="495"/>
    </row>
    <row r="24" spans="1:26" ht="18.75" customHeight="1">
      <c r="A24" s="490" t="s">
        <v>1560</v>
      </c>
      <c r="B24" s="490"/>
      <c r="C24" s="490"/>
      <c r="D24" s="490"/>
      <c r="E24" s="490"/>
      <c r="F24" s="490"/>
      <c r="G24" s="490"/>
      <c r="H24" s="490"/>
      <c r="I24" s="490"/>
      <c r="J24" s="490"/>
      <c r="K24" s="490"/>
      <c r="L24" s="490"/>
      <c r="M24" s="490"/>
      <c r="N24" s="488"/>
      <c r="O24" s="526"/>
      <c r="P24" s="527"/>
      <c r="Q24" s="527"/>
      <c r="R24" s="911"/>
      <c r="S24" s="911"/>
      <c r="T24" s="528"/>
      <c r="U24" s="526"/>
      <c r="V24" s="527"/>
      <c r="W24" s="911"/>
      <c r="X24" s="911"/>
    </row>
    <row r="25" spans="1:26" ht="18.75" customHeight="1">
      <c r="A25" s="491"/>
      <c r="B25" s="491"/>
      <c r="C25" s="491"/>
      <c r="D25" s="491"/>
      <c r="E25" s="491"/>
      <c r="F25" s="491"/>
      <c r="G25" s="491"/>
      <c r="H25" s="491"/>
      <c r="I25" s="490"/>
      <c r="J25" s="491"/>
      <c r="K25" s="491"/>
      <c r="L25" s="492"/>
      <c r="M25" s="491"/>
      <c r="N25" s="488"/>
      <c r="O25" s="526"/>
      <c r="P25" s="527"/>
      <c r="Q25" s="527"/>
      <c r="R25" s="911"/>
      <c r="S25" s="911"/>
      <c r="T25" s="528"/>
      <c r="U25" s="526"/>
      <c r="V25" s="527"/>
      <c r="W25" s="911"/>
      <c r="X25" s="911"/>
    </row>
    <row r="26" spans="1:26" ht="12.75" customHeight="1">
      <c r="A26" s="493"/>
      <c r="B26" s="493"/>
      <c r="C26" s="493"/>
      <c r="D26" s="493"/>
      <c r="E26" s="493"/>
      <c r="F26" s="493"/>
      <c r="G26" s="493"/>
      <c r="H26" s="493"/>
      <c r="I26" s="493"/>
      <c r="J26" s="493"/>
      <c r="K26" s="493"/>
      <c r="L26" s="494"/>
      <c r="M26" s="493"/>
      <c r="N26" s="488"/>
      <c r="O26" s="526"/>
      <c r="P26" s="527"/>
      <c r="Q26" s="527"/>
      <c r="R26" s="911"/>
      <c r="S26" s="911"/>
      <c r="T26" s="528"/>
      <c r="U26" s="526"/>
      <c r="V26" s="527"/>
      <c r="W26" s="911"/>
      <c r="X26" s="911"/>
    </row>
    <row r="27" spans="1:26" s="501" customFormat="1" ht="30.75" customHeight="1">
      <c r="A27" s="496" t="s">
        <v>35</v>
      </c>
      <c r="B27" s="496" t="s">
        <v>283</v>
      </c>
      <c r="C27" s="497" t="s">
        <v>287</v>
      </c>
      <c r="D27" s="497" t="s">
        <v>1557</v>
      </c>
      <c r="E27" s="497" t="s">
        <v>288</v>
      </c>
      <c r="F27" s="497" t="s">
        <v>1558</v>
      </c>
      <c r="G27" s="497" t="s">
        <v>289</v>
      </c>
      <c r="H27" s="498" t="s">
        <v>290</v>
      </c>
      <c r="I27" s="497" t="s">
        <v>1559</v>
      </c>
      <c r="J27" s="498" t="s">
        <v>291</v>
      </c>
      <c r="K27" s="497" t="s">
        <v>292</v>
      </c>
      <c r="L27" s="499" t="s">
        <v>285</v>
      </c>
      <c r="M27" s="497" t="s">
        <v>293</v>
      </c>
      <c r="N27" s="500"/>
      <c r="O27" s="496" t="s">
        <v>283</v>
      </c>
      <c r="P27" s="497" t="s">
        <v>276</v>
      </c>
      <c r="Q27" s="497"/>
      <c r="R27" s="497" t="s">
        <v>239</v>
      </c>
      <c r="S27" s="497" t="s">
        <v>286</v>
      </c>
      <c r="T27" s="497" t="s">
        <v>294</v>
      </c>
      <c r="U27" s="496" t="s">
        <v>283</v>
      </c>
      <c r="V27" s="497" t="s">
        <v>276</v>
      </c>
      <c r="W27" s="497" t="s">
        <v>239</v>
      </c>
      <c r="X27" s="497" t="s">
        <v>286</v>
      </c>
      <c r="Y27" s="496" t="s">
        <v>294</v>
      </c>
    </row>
    <row r="28" spans="1:26">
      <c r="A28" s="502" t="str">
        <f>IF(B28&lt;&gt;"",ROW()-(ROW()-1),"")</f>
        <v/>
      </c>
      <c r="B28" s="509"/>
      <c r="C28" s="503">
        <f>T28</f>
        <v>0</v>
      </c>
      <c r="D28" s="399">
        <f t="shared" ref="D28:I36" si="8">IF($L$38&lt;&gt;0,D$38/$L$38*$L28,0)</f>
        <v>0</v>
      </c>
      <c r="E28" s="399">
        <f t="shared" si="8"/>
        <v>0</v>
      </c>
      <c r="F28" s="399">
        <f t="shared" si="8"/>
        <v>0</v>
      </c>
      <c r="G28" s="399">
        <f t="shared" si="8"/>
        <v>0</v>
      </c>
      <c r="H28" s="399">
        <f t="shared" si="8"/>
        <v>0</v>
      </c>
      <c r="I28" s="399">
        <f t="shared" si="8"/>
        <v>0</v>
      </c>
      <c r="J28" s="399"/>
      <c r="K28" s="503">
        <f>C28+E28+D28+G28+I28+H28+J28</f>
        <v>0</v>
      </c>
      <c r="L28" s="399"/>
      <c r="M28" s="399" t="str">
        <f>IF(L28&lt;&gt;"",K28/L28,"")</f>
        <v/>
      </c>
      <c r="N28" s="512"/>
      <c r="O28" s="505"/>
      <c r="P28" s="542"/>
      <c r="Q28" s="542"/>
      <c r="R28" s="191"/>
      <c r="S28" s="191"/>
      <c r="T28" s="503">
        <f>R28*S28</f>
        <v>0</v>
      </c>
      <c r="U28" s="505" t="s">
        <v>458</v>
      </c>
      <c r="V28" s="542">
        <v>41052</v>
      </c>
      <c r="W28" s="191">
        <v>100</v>
      </c>
      <c r="X28" s="507">
        <v>25000</v>
      </c>
      <c r="Y28" s="503">
        <f>W28*X28</f>
        <v>2500000</v>
      </c>
    </row>
    <row r="29" spans="1:26">
      <c r="A29" s="502" t="str">
        <f t="shared" ref="A29:A36" si="9">IF(B29&lt;&gt;"",ROW()-(ROW()-1),"")</f>
        <v/>
      </c>
      <c r="B29" s="509"/>
      <c r="C29" s="503">
        <f t="shared" ref="C29:C36" si="10">T29</f>
        <v>0</v>
      </c>
      <c r="D29" s="399">
        <f t="shared" si="8"/>
        <v>0</v>
      </c>
      <c r="E29" s="399">
        <f t="shared" si="8"/>
        <v>0</v>
      </c>
      <c r="F29" s="399">
        <f t="shared" si="8"/>
        <v>0</v>
      </c>
      <c r="G29" s="399">
        <f t="shared" si="8"/>
        <v>0</v>
      </c>
      <c r="H29" s="399">
        <f t="shared" si="8"/>
        <v>0</v>
      </c>
      <c r="I29" s="399">
        <f t="shared" si="8"/>
        <v>0</v>
      </c>
      <c r="J29" s="399"/>
      <c r="K29" s="503">
        <f t="shared" ref="K29:K36" si="11">C29+E29+D29+G29+I29+H29+J29</f>
        <v>0</v>
      </c>
      <c r="L29" s="399"/>
      <c r="M29" s="399" t="str">
        <f t="shared" ref="M29:M36" si="12">IF(L29&lt;&gt;"",K29/L29,"")</f>
        <v/>
      </c>
      <c r="N29" s="512"/>
      <c r="O29" s="509"/>
      <c r="P29" s="506"/>
      <c r="Q29" s="542"/>
      <c r="R29" s="191"/>
      <c r="S29" s="191"/>
      <c r="T29" s="511">
        <f t="shared" ref="T29:T36" si="13">R29*S29</f>
        <v>0</v>
      </c>
      <c r="U29" s="509" t="s">
        <v>411</v>
      </c>
      <c r="V29" s="506">
        <v>41000</v>
      </c>
      <c r="W29" s="510">
        <v>28</v>
      </c>
      <c r="X29" s="191">
        <v>42000</v>
      </c>
      <c r="Y29" s="511">
        <f t="shared" ref="Y29:Y36" si="14">W29*X29</f>
        <v>1176000</v>
      </c>
    </row>
    <row r="30" spans="1:26">
      <c r="A30" s="502" t="str">
        <f t="shared" si="9"/>
        <v/>
      </c>
      <c r="B30" s="509"/>
      <c r="C30" s="503">
        <f t="shared" si="10"/>
        <v>0</v>
      </c>
      <c r="D30" s="399">
        <f t="shared" si="8"/>
        <v>0</v>
      </c>
      <c r="E30" s="399">
        <f t="shared" si="8"/>
        <v>0</v>
      </c>
      <c r="F30" s="399">
        <f t="shared" si="8"/>
        <v>0</v>
      </c>
      <c r="G30" s="399">
        <f t="shared" si="8"/>
        <v>0</v>
      </c>
      <c r="H30" s="399">
        <f t="shared" si="8"/>
        <v>0</v>
      </c>
      <c r="I30" s="399">
        <f t="shared" si="8"/>
        <v>0</v>
      </c>
      <c r="J30" s="399"/>
      <c r="K30" s="503">
        <f t="shared" si="11"/>
        <v>0</v>
      </c>
      <c r="L30" s="399"/>
      <c r="M30" s="399" t="str">
        <f t="shared" si="12"/>
        <v/>
      </c>
      <c r="N30" s="512"/>
      <c r="O30" s="509"/>
      <c r="P30" s="506"/>
      <c r="Q30" s="542"/>
      <c r="R30" s="191"/>
      <c r="S30" s="191"/>
      <c r="T30" s="511">
        <f t="shared" si="13"/>
        <v>0</v>
      </c>
      <c r="U30" s="509" t="s">
        <v>1561</v>
      </c>
      <c r="V30" s="506">
        <v>41060</v>
      </c>
      <c r="W30" s="510">
        <v>25000</v>
      </c>
      <c r="X30" s="277">
        <v>250</v>
      </c>
      <c r="Y30" s="511">
        <f t="shared" si="14"/>
        <v>6250000</v>
      </c>
    </row>
    <row r="31" spans="1:26">
      <c r="A31" s="502" t="str">
        <f t="shared" si="9"/>
        <v/>
      </c>
      <c r="B31" s="509"/>
      <c r="C31" s="503">
        <f t="shared" si="10"/>
        <v>0</v>
      </c>
      <c r="D31" s="399">
        <f t="shared" si="8"/>
        <v>0</v>
      </c>
      <c r="E31" s="399">
        <f t="shared" si="8"/>
        <v>0</v>
      </c>
      <c r="F31" s="399">
        <f t="shared" si="8"/>
        <v>0</v>
      </c>
      <c r="G31" s="399">
        <f t="shared" si="8"/>
        <v>0</v>
      </c>
      <c r="H31" s="399">
        <f t="shared" si="8"/>
        <v>0</v>
      </c>
      <c r="I31" s="399">
        <f t="shared" si="8"/>
        <v>0</v>
      </c>
      <c r="J31" s="399"/>
      <c r="K31" s="503">
        <f t="shared" si="11"/>
        <v>0</v>
      </c>
      <c r="L31" s="399"/>
      <c r="M31" s="399" t="str">
        <f t="shared" si="12"/>
        <v/>
      </c>
      <c r="N31" s="512"/>
      <c r="O31" s="509"/>
      <c r="P31" s="506"/>
      <c r="Q31" s="542"/>
      <c r="R31" s="191"/>
      <c r="S31" s="191"/>
      <c r="T31" s="511">
        <f t="shared" si="13"/>
        <v>0</v>
      </c>
      <c r="U31" s="509"/>
      <c r="V31" s="506"/>
      <c r="W31" s="510"/>
      <c r="X31" s="510"/>
      <c r="Y31" s="511">
        <f t="shared" si="14"/>
        <v>0</v>
      </c>
    </row>
    <row r="32" spans="1:26">
      <c r="A32" s="502" t="str">
        <f t="shared" si="9"/>
        <v/>
      </c>
      <c r="B32" s="509"/>
      <c r="C32" s="503">
        <f t="shared" si="10"/>
        <v>0</v>
      </c>
      <c r="D32" s="399">
        <f t="shared" si="8"/>
        <v>0</v>
      </c>
      <c r="E32" s="399">
        <f t="shared" si="8"/>
        <v>0</v>
      </c>
      <c r="F32" s="399">
        <f t="shared" si="8"/>
        <v>0</v>
      </c>
      <c r="G32" s="399">
        <f t="shared" si="8"/>
        <v>0</v>
      </c>
      <c r="H32" s="399">
        <f t="shared" si="8"/>
        <v>0</v>
      </c>
      <c r="I32" s="399">
        <f t="shared" si="8"/>
        <v>0</v>
      </c>
      <c r="J32" s="399"/>
      <c r="K32" s="503">
        <f t="shared" si="11"/>
        <v>0</v>
      </c>
      <c r="L32" s="399"/>
      <c r="M32" s="399" t="str">
        <f t="shared" si="12"/>
        <v/>
      </c>
      <c r="N32" s="512"/>
      <c r="O32" s="509"/>
      <c r="P32" s="506"/>
      <c r="Q32" s="542"/>
      <c r="R32" s="191"/>
      <c r="S32" s="191"/>
      <c r="T32" s="511">
        <f t="shared" si="13"/>
        <v>0</v>
      </c>
      <c r="U32" s="509"/>
      <c r="V32" s="506"/>
      <c r="W32" s="510"/>
      <c r="X32" s="510"/>
      <c r="Y32" s="511">
        <f t="shared" si="14"/>
        <v>0</v>
      </c>
    </row>
    <row r="33" spans="1:25">
      <c r="A33" s="502" t="str">
        <f t="shared" si="9"/>
        <v/>
      </c>
      <c r="B33" s="509"/>
      <c r="C33" s="503">
        <f t="shared" si="10"/>
        <v>0</v>
      </c>
      <c r="D33" s="399">
        <f t="shared" si="8"/>
        <v>0</v>
      </c>
      <c r="E33" s="399">
        <f t="shared" si="8"/>
        <v>0</v>
      </c>
      <c r="F33" s="399">
        <f t="shared" si="8"/>
        <v>0</v>
      </c>
      <c r="G33" s="399">
        <f t="shared" si="8"/>
        <v>0</v>
      </c>
      <c r="H33" s="399">
        <f t="shared" si="8"/>
        <v>0</v>
      </c>
      <c r="I33" s="399">
        <f t="shared" si="8"/>
        <v>0</v>
      </c>
      <c r="J33" s="399"/>
      <c r="K33" s="503">
        <f t="shared" si="11"/>
        <v>0</v>
      </c>
      <c r="L33" s="399"/>
      <c r="M33" s="399" t="str">
        <f t="shared" si="12"/>
        <v/>
      </c>
      <c r="N33" s="512"/>
      <c r="O33" s="509"/>
      <c r="P33" s="506"/>
      <c r="Q33" s="542"/>
      <c r="R33" s="191"/>
      <c r="S33" s="191"/>
      <c r="T33" s="511">
        <f t="shared" si="13"/>
        <v>0</v>
      </c>
      <c r="U33" s="509"/>
      <c r="V33" s="506"/>
      <c r="W33" s="510"/>
      <c r="X33" s="510"/>
      <c r="Y33" s="511">
        <f t="shared" si="14"/>
        <v>0</v>
      </c>
    </row>
    <row r="34" spans="1:25">
      <c r="A34" s="502" t="str">
        <f t="shared" si="9"/>
        <v/>
      </c>
      <c r="B34" s="509"/>
      <c r="C34" s="503">
        <f t="shared" si="10"/>
        <v>0</v>
      </c>
      <c r="D34" s="399">
        <f t="shared" si="8"/>
        <v>0</v>
      </c>
      <c r="E34" s="399">
        <f t="shared" si="8"/>
        <v>0</v>
      </c>
      <c r="F34" s="399">
        <f t="shared" si="8"/>
        <v>0</v>
      </c>
      <c r="G34" s="399">
        <f t="shared" si="8"/>
        <v>0</v>
      </c>
      <c r="H34" s="399">
        <f t="shared" si="8"/>
        <v>0</v>
      </c>
      <c r="I34" s="399">
        <f t="shared" si="8"/>
        <v>0</v>
      </c>
      <c r="J34" s="399"/>
      <c r="K34" s="503">
        <f t="shared" si="11"/>
        <v>0</v>
      </c>
      <c r="L34" s="399"/>
      <c r="M34" s="399" t="str">
        <f t="shared" si="12"/>
        <v/>
      </c>
      <c r="N34" s="512"/>
      <c r="O34" s="509"/>
      <c r="P34" s="506"/>
      <c r="Q34" s="542"/>
      <c r="R34" s="191"/>
      <c r="S34" s="191"/>
      <c r="T34" s="511">
        <f t="shared" si="13"/>
        <v>0</v>
      </c>
      <c r="U34" s="509"/>
      <c r="V34" s="506"/>
      <c r="W34" s="510"/>
      <c r="X34" s="510"/>
      <c r="Y34" s="511">
        <f t="shared" si="14"/>
        <v>0</v>
      </c>
    </row>
    <row r="35" spans="1:25">
      <c r="A35" s="502" t="str">
        <f t="shared" si="9"/>
        <v/>
      </c>
      <c r="B35" s="509"/>
      <c r="C35" s="503">
        <f t="shared" si="10"/>
        <v>0</v>
      </c>
      <c r="D35" s="399">
        <f t="shared" si="8"/>
        <v>0</v>
      </c>
      <c r="E35" s="399">
        <f t="shared" si="8"/>
        <v>0</v>
      </c>
      <c r="F35" s="399">
        <f t="shared" si="8"/>
        <v>0</v>
      </c>
      <c r="G35" s="399">
        <f t="shared" si="8"/>
        <v>0</v>
      </c>
      <c r="H35" s="399">
        <f t="shared" si="8"/>
        <v>0</v>
      </c>
      <c r="I35" s="399">
        <f t="shared" si="8"/>
        <v>0</v>
      </c>
      <c r="J35" s="399"/>
      <c r="K35" s="503">
        <f t="shared" si="11"/>
        <v>0</v>
      </c>
      <c r="L35" s="399"/>
      <c r="M35" s="399" t="str">
        <f t="shared" si="12"/>
        <v/>
      </c>
      <c r="N35" s="512"/>
      <c r="O35" s="509"/>
      <c r="P35" s="506"/>
      <c r="Q35" s="542"/>
      <c r="R35" s="191"/>
      <c r="S35" s="191"/>
      <c r="T35" s="511">
        <f t="shared" si="13"/>
        <v>0</v>
      </c>
      <c r="U35" s="509"/>
      <c r="V35" s="506"/>
      <c r="W35" s="510"/>
      <c r="X35" s="510"/>
      <c r="Y35" s="511">
        <f t="shared" si="14"/>
        <v>0</v>
      </c>
    </row>
    <row r="36" spans="1:25">
      <c r="A36" s="502" t="str">
        <f t="shared" si="9"/>
        <v/>
      </c>
      <c r="B36" s="509"/>
      <c r="C36" s="503">
        <f t="shared" si="10"/>
        <v>0</v>
      </c>
      <c r="D36" s="399">
        <f t="shared" si="8"/>
        <v>0</v>
      </c>
      <c r="E36" s="399">
        <f t="shared" si="8"/>
        <v>0</v>
      </c>
      <c r="F36" s="399">
        <f t="shared" si="8"/>
        <v>0</v>
      </c>
      <c r="G36" s="399">
        <f t="shared" si="8"/>
        <v>0</v>
      </c>
      <c r="H36" s="399">
        <f t="shared" si="8"/>
        <v>0</v>
      </c>
      <c r="I36" s="399">
        <f t="shared" si="8"/>
        <v>0</v>
      </c>
      <c r="J36" s="399"/>
      <c r="K36" s="503">
        <f t="shared" si="11"/>
        <v>0</v>
      </c>
      <c r="L36" s="399"/>
      <c r="M36" s="399" t="str">
        <f t="shared" si="12"/>
        <v/>
      </c>
      <c r="N36" s="512"/>
      <c r="O36" s="509"/>
      <c r="P36" s="506"/>
      <c r="Q36" s="542"/>
      <c r="R36" s="191"/>
      <c r="S36" s="191"/>
      <c r="T36" s="511">
        <f t="shared" si="13"/>
        <v>0</v>
      </c>
      <c r="U36" s="509"/>
      <c r="V36" s="506"/>
      <c r="W36" s="510"/>
      <c r="X36" s="510"/>
      <c r="Y36" s="511">
        <f t="shared" si="14"/>
        <v>0</v>
      </c>
    </row>
    <row r="37" spans="1:25" s="513" customFormat="1">
      <c r="A37" s="502" t="str">
        <f>IF(B37&lt;&gt;"",#REF!+1,"")</f>
        <v/>
      </c>
      <c r="B37" s="529"/>
      <c r="C37" s="531"/>
      <c r="D37" s="532"/>
      <c r="E37" s="530"/>
      <c r="F37" s="530"/>
      <c r="G37" s="533"/>
      <c r="H37" s="530"/>
      <c r="I37" s="534"/>
      <c r="J37" s="530"/>
      <c r="K37" s="532"/>
      <c r="L37" s="535"/>
      <c r="M37" s="530"/>
      <c r="N37" s="512"/>
      <c r="O37" s="509"/>
      <c r="P37" s="506"/>
      <c r="Q37" s="542"/>
      <c r="R37" s="191"/>
      <c r="S37" s="191"/>
      <c r="T37" s="503"/>
      <c r="U37" s="509"/>
      <c r="V37" s="506"/>
      <c r="W37" s="191"/>
      <c r="X37" s="191"/>
      <c r="Y37" s="536"/>
    </row>
    <row r="38" spans="1:25" s="485" customFormat="1">
      <c r="A38" s="514"/>
      <c r="B38" s="515" t="s">
        <v>295</v>
      </c>
      <c r="C38" s="516">
        <f>SUM(C28:C37)</f>
        <v>0</v>
      </c>
      <c r="D38" s="517"/>
      <c r="E38" s="517">
        <f>$Y$38</f>
        <v>9926000</v>
      </c>
      <c r="F38" s="517">
        <v>24100000</v>
      </c>
      <c r="G38" s="517"/>
      <c r="H38" s="517">
        <v>18250000</v>
      </c>
      <c r="I38" s="516">
        <v>2472273</v>
      </c>
      <c r="J38" s="516">
        <f>ROUND(SUM(J28:J37),0)</f>
        <v>0</v>
      </c>
      <c r="K38" s="516">
        <f>ROUND(SUM(K28:K37),0)</f>
        <v>0</v>
      </c>
      <c r="L38" s="516">
        <f>ROUND(SUM(L28:L37),0)</f>
        <v>0</v>
      </c>
      <c r="M38" s="516"/>
      <c r="N38" s="488"/>
      <c r="O38" s="537"/>
      <c r="P38" s="538"/>
      <c r="Q38" s="538"/>
      <c r="R38" s="539"/>
      <c r="S38" s="912"/>
      <c r="T38" s="523">
        <f>SUM(T28:T37)</f>
        <v>0</v>
      </c>
      <c r="U38" s="537"/>
      <c r="V38" s="538"/>
      <c r="W38" s="539"/>
      <c r="X38" s="912"/>
      <c r="Y38" s="523">
        <f>SUM(Y28:Y37)</f>
        <v>9926000</v>
      </c>
    </row>
    <row r="39" spans="1:25" s="485" customFormat="1">
      <c r="A39" s="518"/>
      <c r="B39" s="519"/>
      <c r="C39" s="520"/>
      <c r="D39" s="520"/>
      <c r="E39" s="490"/>
      <c r="F39" s="490"/>
      <c r="G39" s="520"/>
      <c r="H39" s="520"/>
      <c r="I39" s="520"/>
      <c r="J39" s="520"/>
      <c r="K39" s="520"/>
      <c r="L39" s="520"/>
      <c r="M39" s="520"/>
      <c r="N39" s="488"/>
      <c r="O39" s="526"/>
      <c r="P39" s="527"/>
      <c r="Q39" s="527"/>
      <c r="R39" s="911"/>
      <c r="S39" s="911"/>
      <c r="T39" s="528"/>
      <c r="U39" s="526"/>
      <c r="V39" s="527"/>
      <c r="W39" s="911"/>
      <c r="X39" s="911"/>
      <c r="Y39" s="540"/>
    </row>
    <row r="40" spans="1:25" s="485" customFormat="1">
      <c r="A40" s="518"/>
      <c r="B40" s="519"/>
      <c r="C40" s="520"/>
      <c r="D40" s="520"/>
      <c r="E40" s="490"/>
      <c r="F40" s="490"/>
      <c r="G40" s="520"/>
      <c r="H40" s="520"/>
      <c r="I40" s="520"/>
      <c r="J40" s="520"/>
      <c r="K40" s="520"/>
      <c r="L40" s="520"/>
      <c r="M40" s="520"/>
      <c r="N40" s="488"/>
      <c r="O40" s="526"/>
      <c r="P40" s="527"/>
      <c r="Q40" s="527"/>
      <c r="R40" s="911"/>
      <c r="S40" s="911"/>
      <c r="T40" s="528"/>
      <c r="U40" s="526"/>
      <c r="V40" s="527"/>
      <c r="W40" s="911"/>
      <c r="X40" s="911"/>
      <c r="Y40" s="540"/>
    </row>
    <row r="41" spans="1:25" s="485" customFormat="1">
      <c r="A41" s="518"/>
      <c r="B41" s="519"/>
      <c r="C41" s="520"/>
      <c r="D41" s="520"/>
      <c r="E41" s="490"/>
      <c r="F41" s="490"/>
      <c r="G41" s="520"/>
      <c r="H41" s="520"/>
      <c r="I41" s="520"/>
      <c r="J41" s="520"/>
      <c r="K41" s="520"/>
      <c r="L41" s="520"/>
      <c r="M41" s="520"/>
      <c r="N41" s="488"/>
      <c r="O41" s="526"/>
      <c r="P41" s="527"/>
      <c r="Q41" s="527"/>
      <c r="R41" s="911"/>
      <c r="S41" s="911"/>
      <c r="T41" s="528"/>
      <c r="U41" s="526"/>
      <c r="V41" s="527"/>
      <c r="W41" s="911"/>
      <c r="X41" s="911"/>
      <c r="Y41" s="540"/>
    </row>
    <row r="42" spans="1:25" s="485" customFormat="1">
      <c r="A42" s="518"/>
      <c r="B42" s="519"/>
      <c r="C42" s="520"/>
      <c r="D42" s="520"/>
      <c r="E42" s="490"/>
      <c r="F42" s="490"/>
      <c r="G42" s="520"/>
      <c r="H42" s="520"/>
      <c r="I42" s="520"/>
      <c r="J42" s="520"/>
      <c r="K42" s="520"/>
      <c r="L42" s="520"/>
      <c r="M42" s="520"/>
      <c r="N42" s="488"/>
      <c r="O42" s="526"/>
      <c r="P42" s="527"/>
      <c r="Q42" s="527"/>
      <c r="R42" s="911"/>
      <c r="S42" s="911"/>
      <c r="T42" s="528"/>
      <c r="U42" s="526"/>
      <c r="V42" s="527"/>
      <c r="W42" s="911"/>
      <c r="X42" s="911"/>
      <c r="Y42" s="540"/>
    </row>
    <row r="43" spans="1:25">
      <c r="O43" s="526"/>
      <c r="P43" s="527"/>
      <c r="Q43" s="527"/>
      <c r="R43" s="911"/>
      <c r="S43" s="911"/>
      <c r="T43" s="528"/>
      <c r="U43" s="526"/>
      <c r="V43" s="527"/>
      <c r="W43" s="911"/>
      <c r="X43" s="911"/>
      <c r="Y43" s="540"/>
    </row>
    <row r="44" spans="1:25">
      <c r="O44" s="526"/>
      <c r="P44" s="527"/>
      <c r="Q44" s="527"/>
      <c r="R44" s="911"/>
      <c r="S44" s="911"/>
      <c r="T44" s="528"/>
      <c r="U44" s="526"/>
      <c r="V44" s="527"/>
      <c r="W44" s="911"/>
      <c r="X44" s="911"/>
      <c r="Y44" s="540"/>
    </row>
    <row r="45" spans="1:25">
      <c r="O45" s="526"/>
      <c r="P45" s="527"/>
      <c r="Q45" s="527"/>
      <c r="R45" s="911"/>
      <c r="S45" s="911"/>
      <c r="T45" s="528"/>
      <c r="U45" s="526"/>
      <c r="V45" s="527"/>
      <c r="W45" s="911"/>
      <c r="X45" s="911"/>
      <c r="Y45" s="540"/>
    </row>
    <row r="46" spans="1:25">
      <c r="O46" s="526"/>
      <c r="P46" s="527"/>
      <c r="Q46" s="527"/>
      <c r="R46" s="911"/>
      <c r="S46" s="911"/>
      <c r="T46" s="528"/>
      <c r="U46" s="526"/>
      <c r="V46" s="527"/>
      <c r="W46" s="911"/>
      <c r="X46" s="911"/>
      <c r="Y46" s="540"/>
    </row>
    <row r="47" spans="1:25">
      <c r="O47" s="526"/>
      <c r="P47" s="527"/>
      <c r="Q47" s="527"/>
      <c r="R47" s="911"/>
      <c r="S47" s="911"/>
      <c r="T47" s="528"/>
      <c r="U47" s="526"/>
      <c r="V47" s="527"/>
      <c r="W47" s="911"/>
      <c r="X47" s="911"/>
      <c r="Y47" s="540"/>
    </row>
    <row r="48" spans="1:25" ht="18" customHeight="1">
      <c r="A48" s="485" t="s">
        <v>282</v>
      </c>
      <c r="B48" s="485"/>
      <c r="C48" s="484"/>
      <c r="D48" s="484"/>
      <c r="E48" s="484"/>
      <c r="F48" s="484"/>
      <c r="G48" s="484"/>
      <c r="H48" s="484"/>
      <c r="I48" s="486"/>
      <c r="J48" s="484"/>
      <c r="K48" s="484"/>
      <c r="L48" s="487"/>
      <c r="M48" s="484"/>
      <c r="N48" s="488"/>
      <c r="O48" s="526"/>
      <c r="P48" s="527"/>
      <c r="Q48" s="527"/>
      <c r="R48" s="911"/>
      <c r="S48" s="911"/>
      <c r="T48" s="528"/>
      <c r="U48" s="526"/>
      <c r="V48" s="527"/>
      <c r="W48" s="911"/>
      <c r="X48" s="911"/>
      <c r="Y48" s="540"/>
    </row>
    <row r="49" spans="1:25" ht="18.75" customHeight="1">
      <c r="A49" s="490" t="s">
        <v>1562</v>
      </c>
      <c r="B49" s="490"/>
      <c r="C49" s="490"/>
      <c r="D49" s="490"/>
      <c r="E49" s="490"/>
      <c r="F49" s="490"/>
      <c r="G49" s="490"/>
      <c r="H49" s="490"/>
      <c r="I49" s="490"/>
      <c r="J49" s="490"/>
      <c r="K49" s="490"/>
      <c r="L49" s="490"/>
      <c r="M49" s="490"/>
      <c r="N49" s="488"/>
      <c r="O49" s="526"/>
      <c r="P49" s="527"/>
      <c r="Q49" s="527"/>
      <c r="R49" s="911"/>
      <c r="S49" s="911"/>
      <c r="T49" s="528"/>
      <c r="U49" s="526"/>
      <c r="V49" s="527"/>
      <c r="W49" s="911"/>
      <c r="X49" s="911"/>
      <c r="Y49" s="540"/>
    </row>
    <row r="50" spans="1:25" ht="18.75" customHeight="1">
      <c r="A50" s="491"/>
      <c r="B50" s="491"/>
      <c r="C50" s="491"/>
      <c r="D50" s="491"/>
      <c r="E50" s="491"/>
      <c r="F50" s="491"/>
      <c r="G50" s="491"/>
      <c r="H50" s="491"/>
      <c r="I50" s="490"/>
      <c r="J50" s="491"/>
      <c r="K50" s="491"/>
      <c r="L50" s="492"/>
      <c r="M50" s="491"/>
      <c r="N50" s="488"/>
      <c r="O50" s="526"/>
      <c r="P50" s="527"/>
      <c r="Q50" s="527"/>
      <c r="R50" s="911"/>
      <c r="S50" s="911"/>
      <c r="T50" s="528"/>
      <c r="U50" s="526"/>
      <c r="V50" s="527"/>
      <c r="W50" s="911"/>
      <c r="X50" s="911"/>
      <c r="Y50" s="540"/>
    </row>
    <row r="51" spans="1:25" ht="12.75" customHeight="1">
      <c r="A51" s="493"/>
      <c r="B51" s="493"/>
      <c r="C51" s="493"/>
      <c r="D51" s="493"/>
      <c r="E51" s="493"/>
      <c r="F51" s="493"/>
      <c r="G51" s="493"/>
      <c r="H51" s="493"/>
      <c r="I51" s="493"/>
      <c r="J51" s="493"/>
      <c r="K51" s="493"/>
      <c r="L51" s="494"/>
      <c r="M51" s="493"/>
      <c r="N51" s="488"/>
      <c r="O51" s="526"/>
      <c r="P51" s="527"/>
      <c r="Q51" s="527"/>
      <c r="R51" s="911"/>
      <c r="S51" s="911"/>
      <c r="T51" s="528"/>
      <c r="U51" s="526"/>
      <c r="V51" s="527"/>
      <c r="W51" s="911"/>
      <c r="X51" s="911"/>
      <c r="Y51" s="495"/>
    </row>
    <row r="52" spans="1:25" s="501" customFormat="1" ht="30.75" customHeight="1">
      <c r="A52" s="496" t="s">
        <v>35</v>
      </c>
      <c r="B52" s="496" t="s">
        <v>283</v>
      </c>
      <c r="C52" s="497" t="s">
        <v>287</v>
      </c>
      <c r="D52" s="497" t="s">
        <v>1557</v>
      </c>
      <c r="E52" s="497" t="s">
        <v>288</v>
      </c>
      <c r="F52" s="497" t="s">
        <v>1558</v>
      </c>
      <c r="G52" s="497" t="s">
        <v>289</v>
      </c>
      <c r="H52" s="498" t="s">
        <v>290</v>
      </c>
      <c r="I52" s="497" t="s">
        <v>1559</v>
      </c>
      <c r="J52" s="498" t="s">
        <v>291</v>
      </c>
      <c r="K52" s="497" t="s">
        <v>292</v>
      </c>
      <c r="L52" s="499" t="s">
        <v>285</v>
      </c>
      <c r="M52" s="497" t="s">
        <v>293</v>
      </c>
      <c r="N52" s="500"/>
      <c r="O52" s="496" t="s">
        <v>283</v>
      </c>
      <c r="P52" s="497" t="s">
        <v>276</v>
      </c>
      <c r="Q52" s="497"/>
      <c r="R52" s="497" t="s">
        <v>239</v>
      </c>
      <c r="S52" s="497" t="s">
        <v>286</v>
      </c>
      <c r="T52" s="497" t="s">
        <v>294</v>
      </c>
      <c r="U52" s="496" t="s">
        <v>283</v>
      </c>
      <c r="V52" s="497" t="s">
        <v>276</v>
      </c>
      <c r="W52" s="497" t="s">
        <v>239</v>
      </c>
      <c r="X52" s="497" t="s">
        <v>286</v>
      </c>
      <c r="Y52" s="496" t="s">
        <v>294</v>
      </c>
    </row>
    <row r="53" spans="1:25">
      <c r="A53" s="502" t="str">
        <f>IF(B53&lt;&gt;"",ROW()-(ROW()-1),"")</f>
        <v/>
      </c>
      <c r="B53" s="509"/>
      <c r="C53" s="503">
        <f>T53</f>
        <v>0</v>
      </c>
      <c r="D53" s="399">
        <f>IF($L$71&lt;&gt;0,D$71/$L$71*$L53,0)</f>
        <v>0</v>
      </c>
      <c r="E53" s="399">
        <f t="shared" ref="E53:I68" si="15">IF($L$71&lt;&gt;0,E$71/$L$71*$L53,0)</f>
        <v>0</v>
      </c>
      <c r="F53" s="399">
        <f t="shared" si="15"/>
        <v>0</v>
      </c>
      <c r="G53" s="399">
        <f t="shared" si="15"/>
        <v>0</v>
      </c>
      <c r="H53" s="399">
        <f t="shared" si="15"/>
        <v>0</v>
      </c>
      <c r="I53" s="399">
        <f t="shared" si="15"/>
        <v>0</v>
      </c>
      <c r="J53" s="399"/>
      <c r="K53" s="503">
        <f>C53+E53+D53+G53+I53+H53+J53</f>
        <v>0</v>
      </c>
      <c r="L53" s="399"/>
      <c r="M53" s="399" t="str">
        <f>IF(L53&lt;&gt;"",K53/L53,"")</f>
        <v/>
      </c>
      <c r="N53" s="512"/>
      <c r="O53" s="505"/>
      <c r="P53" s="506"/>
      <c r="Q53" s="542"/>
      <c r="R53" s="191"/>
      <c r="S53" s="507"/>
      <c r="T53" s="503">
        <f t="shared" ref="T53:T70" si="16">ROUND(R53*S53,0)</f>
        <v>0</v>
      </c>
      <c r="U53" s="505" t="s">
        <v>458</v>
      </c>
      <c r="V53" s="506">
        <v>41099</v>
      </c>
      <c r="W53" s="191">
        <v>100</v>
      </c>
      <c r="X53" s="507">
        <v>25000</v>
      </c>
      <c r="Y53" s="503">
        <f t="shared" ref="Y53:Y70" si="17">ROUND(W53*X53,0)</f>
        <v>2500000</v>
      </c>
    </row>
    <row r="54" spans="1:25">
      <c r="A54" s="502" t="str">
        <f t="shared" ref="A54:A69" si="18">IF(B54&lt;&gt;"",ROW()-(ROW()-1),"")</f>
        <v/>
      </c>
      <c r="B54" s="509"/>
      <c r="C54" s="503">
        <f t="shared" ref="C54:C69" si="19">T54</f>
        <v>0</v>
      </c>
      <c r="D54" s="399">
        <f t="shared" ref="D54:I69" si="20">IF($L$71&lt;&gt;0,D$71/$L$71*$L54,0)</f>
        <v>0</v>
      </c>
      <c r="E54" s="399">
        <f t="shared" si="15"/>
        <v>0</v>
      </c>
      <c r="F54" s="399">
        <f t="shared" si="15"/>
        <v>0</v>
      </c>
      <c r="G54" s="399">
        <f t="shared" si="15"/>
        <v>0</v>
      </c>
      <c r="H54" s="399">
        <f t="shared" si="15"/>
        <v>0</v>
      </c>
      <c r="I54" s="399">
        <f t="shared" si="15"/>
        <v>0</v>
      </c>
      <c r="J54" s="399"/>
      <c r="K54" s="503">
        <f t="shared" ref="K54:K69" si="21">C54+E54+D54+G54+I54+H54+J54</f>
        <v>0</v>
      </c>
      <c r="L54" s="399"/>
      <c r="M54" s="399" t="str">
        <f t="shared" ref="M54:M69" si="22">IF(L54&lt;&gt;"",K54/L54,"")</f>
        <v/>
      </c>
      <c r="N54" s="512"/>
      <c r="O54" s="509"/>
      <c r="P54" s="506"/>
      <c r="Q54" s="542"/>
      <c r="R54" s="191"/>
      <c r="S54" s="191"/>
      <c r="T54" s="503">
        <f t="shared" si="16"/>
        <v>0</v>
      </c>
      <c r="U54" s="509" t="s">
        <v>411</v>
      </c>
      <c r="V54" s="506">
        <v>41091</v>
      </c>
      <c r="W54" s="191">
        <v>35</v>
      </c>
      <c r="X54" s="191">
        <v>42000</v>
      </c>
      <c r="Y54" s="503">
        <f t="shared" si="17"/>
        <v>1470000</v>
      </c>
    </row>
    <row r="55" spans="1:25">
      <c r="A55" s="502" t="str">
        <f t="shared" si="18"/>
        <v/>
      </c>
      <c r="B55" s="509"/>
      <c r="C55" s="503">
        <f t="shared" si="19"/>
        <v>0</v>
      </c>
      <c r="D55" s="399">
        <f t="shared" si="20"/>
        <v>0</v>
      </c>
      <c r="E55" s="399">
        <f t="shared" si="15"/>
        <v>0</v>
      </c>
      <c r="F55" s="399">
        <f t="shared" si="15"/>
        <v>0</v>
      </c>
      <c r="G55" s="399">
        <f t="shared" si="15"/>
        <v>0</v>
      </c>
      <c r="H55" s="399">
        <f t="shared" si="15"/>
        <v>0</v>
      </c>
      <c r="I55" s="399">
        <f t="shared" si="15"/>
        <v>0</v>
      </c>
      <c r="J55" s="399"/>
      <c r="K55" s="503">
        <f t="shared" si="21"/>
        <v>0</v>
      </c>
      <c r="L55" s="399"/>
      <c r="M55" s="399" t="str">
        <f t="shared" si="22"/>
        <v/>
      </c>
      <c r="N55" s="512"/>
      <c r="O55" s="509"/>
      <c r="P55" s="506"/>
      <c r="Q55" s="542"/>
      <c r="R55" s="191"/>
      <c r="S55" s="191"/>
      <c r="T55" s="503">
        <f t="shared" si="16"/>
        <v>0</v>
      </c>
      <c r="U55" s="509" t="s">
        <v>1561</v>
      </c>
      <c r="V55" s="506">
        <v>41091</v>
      </c>
      <c r="W55" s="191">
        <v>39560</v>
      </c>
      <c r="X55" s="277">
        <v>250</v>
      </c>
      <c r="Y55" s="503">
        <f t="shared" si="17"/>
        <v>9890000</v>
      </c>
    </row>
    <row r="56" spans="1:25">
      <c r="A56" s="502" t="str">
        <f t="shared" si="18"/>
        <v/>
      </c>
      <c r="B56" s="509"/>
      <c r="C56" s="503">
        <f t="shared" si="19"/>
        <v>0</v>
      </c>
      <c r="D56" s="399">
        <f t="shared" si="20"/>
        <v>0</v>
      </c>
      <c r="E56" s="399">
        <f t="shared" si="15"/>
        <v>0</v>
      </c>
      <c r="F56" s="399">
        <f t="shared" si="15"/>
        <v>0</v>
      </c>
      <c r="G56" s="399">
        <f t="shared" si="15"/>
        <v>0</v>
      </c>
      <c r="H56" s="399">
        <f t="shared" si="15"/>
        <v>0</v>
      </c>
      <c r="I56" s="399">
        <f t="shared" si="15"/>
        <v>0</v>
      </c>
      <c r="J56" s="399"/>
      <c r="K56" s="503">
        <f t="shared" si="21"/>
        <v>0</v>
      </c>
      <c r="L56" s="399"/>
      <c r="M56" s="399" t="str">
        <f t="shared" si="22"/>
        <v/>
      </c>
      <c r="N56" s="512"/>
      <c r="O56" s="509"/>
      <c r="P56" s="506"/>
      <c r="Q56" s="542"/>
      <c r="R56" s="191"/>
      <c r="S56" s="191"/>
      <c r="T56" s="503">
        <f t="shared" si="16"/>
        <v>0</v>
      </c>
      <c r="U56" s="509"/>
      <c r="V56" s="506"/>
      <c r="W56" s="191"/>
      <c r="X56" s="191"/>
      <c r="Y56" s="503">
        <f t="shared" si="17"/>
        <v>0</v>
      </c>
    </row>
    <row r="57" spans="1:25">
      <c r="A57" s="502" t="str">
        <f t="shared" si="18"/>
        <v/>
      </c>
      <c r="B57" s="509"/>
      <c r="C57" s="503">
        <f t="shared" si="19"/>
        <v>0</v>
      </c>
      <c r="D57" s="399">
        <f t="shared" si="20"/>
        <v>0</v>
      </c>
      <c r="E57" s="399">
        <f t="shared" si="15"/>
        <v>0</v>
      </c>
      <c r="F57" s="399">
        <f t="shared" si="15"/>
        <v>0</v>
      </c>
      <c r="G57" s="399">
        <f t="shared" si="15"/>
        <v>0</v>
      </c>
      <c r="H57" s="399">
        <f t="shared" si="15"/>
        <v>0</v>
      </c>
      <c r="I57" s="399">
        <f t="shared" si="15"/>
        <v>0</v>
      </c>
      <c r="J57" s="399"/>
      <c r="K57" s="503">
        <f t="shared" si="21"/>
        <v>0</v>
      </c>
      <c r="L57" s="399"/>
      <c r="M57" s="399" t="str">
        <f t="shared" si="22"/>
        <v/>
      </c>
      <c r="N57" s="512"/>
      <c r="O57" s="509"/>
      <c r="P57" s="506"/>
      <c r="Q57" s="542"/>
      <c r="R57" s="191"/>
      <c r="S57" s="191"/>
      <c r="T57" s="503">
        <f t="shared" si="16"/>
        <v>0</v>
      </c>
      <c r="U57" s="509"/>
      <c r="V57" s="506"/>
      <c r="W57" s="191"/>
      <c r="X57" s="191"/>
      <c r="Y57" s="503">
        <f t="shared" si="17"/>
        <v>0</v>
      </c>
    </row>
    <row r="58" spans="1:25">
      <c r="A58" s="502" t="str">
        <f t="shared" si="18"/>
        <v/>
      </c>
      <c r="B58" s="509"/>
      <c r="C58" s="503">
        <f t="shared" si="19"/>
        <v>0</v>
      </c>
      <c r="D58" s="399">
        <f t="shared" si="20"/>
        <v>0</v>
      </c>
      <c r="E58" s="399">
        <f t="shared" si="15"/>
        <v>0</v>
      </c>
      <c r="F58" s="399">
        <f t="shared" si="15"/>
        <v>0</v>
      </c>
      <c r="G58" s="399">
        <f t="shared" si="15"/>
        <v>0</v>
      </c>
      <c r="H58" s="399">
        <f t="shared" si="15"/>
        <v>0</v>
      </c>
      <c r="I58" s="399">
        <f t="shared" si="15"/>
        <v>0</v>
      </c>
      <c r="J58" s="399"/>
      <c r="K58" s="503">
        <f t="shared" si="21"/>
        <v>0</v>
      </c>
      <c r="L58" s="399"/>
      <c r="M58" s="399" t="str">
        <f t="shared" si="22"/>
        <v/>
      </c>
      <c r="N58" s="512"/>
      <c r="O58" s="509"/>
      <c r="P58" s="506"/>
      <c r="Q58" s="542"/>
      <c r="R58" s="191"/>
      <c r="S58" s="191"/>
      <c r="T58" s="503">
        <f t="shared" si="16"/>
        <v>0</v>
      </c>
      <c r="U58" s="509"/>
      <c r="V58" s="506"/>
      <c r="W58" s="191"/>
      <c r="X58" s="191"/>
      <c r="Y58" s="503">
        <f t="shared" si="17"/>
        <v>0</v>
      </c>
    </row>
    <row r="59" spans="1:25">
      <c r="A59" s="502" t="str">
        <f t="shared" si="18"/>
        <v/>
      </c>
      <c r="B59" s="509"/>
      <c r="C59" s="503">
        <f t="shared" si="19"/>
        <v>0</v>
      </c>
      <c r="D59" s="399">
        <f t="shared" si="20"/>
        <v>0</v>
      </c>
      <c r="E59" s="399">
        <f t="shared" si="15"/>
        <v>0</v>
      </c>
      <c r="F59" s="399">
        <f t="shared" si="15"/>
        <v>0</v>
      </c>
      <c r="G59" s="399">
        <f t="shared" si="15"/>
        <v>0</v>
      </c>
      <c r="H59" s="399">
        <f t="shared" si="15"/>
        <v>0</v>
      </c>
      <c r="I59" s="399">
        <f t="shared" si="15"/>
        <v>0</v>
      </c>
      <c r="J59" s="399"/>
      <c r="K59" s="503">
        <f t="shared" si="21"/>
        <v>0</v>
      </c>
      <c r="L59" s="399"/>
      <c r="M59" s="399" t="str">
        <f t="shared" si="22"/>
        <v/>
      </c>
      <c r="N59" s="512"/>
      <c r="O59" s="509"/>
      <c r="P59" s="506"/>
      <c r="Q59" s="542"/>
      <c r="R59" s="191"/>
      <c r="S59" s="191"/>
      <c r="T59" s="503">
        <f t="shared" si="16"/>
        <v>0</v>
      </c>
      <c r="U59" s="509"/>
      <c r="V59" s="506"/>
      <c r="W59" s="191"/>
      <c r="X59" s="191"/>
      <c r="Y59" s="503">
        <f t="shared" si="17"/>
        <v>0</v>
      </c>
    </row>
    <row r="60" spans="1:25">
      <c r="A60" s="502" t="str">
        <f t="shared" si="18"/>
        <v/>
      </c>
      <c r="B60" s="509"/>
      <c r="C60" s="503">
        <f t="shared" si="19"/>
        <v>0</v>
      </c>
      <c r="D60" s="399">
        <f t="shared" si="20"/>
        <v>0</v>
      </c>
      <c r="E60" s="399">
        <f t="shared" si="15"/>
        <v>0</v>
      </c>
      <c r="F60" s="399">
        <f t="shared" si="15"/>
        <v>0</v>
      </c>
      <c r="G60" s="399">
        <f t="shared" si="15"/>
        <v>0</v>
      </c>
      <c r="H60" s="399">
        <f t="shared" si="15"/>
        <v>0</v>
      </c>
      <c r="I60" s="399">
        <f t="shared" si="15"/>
        <v>0</v>
      </c>
      <c r="J60" s="399"/>
      <c r="K60" s="503">
        <f t="shared" si="21"/>
        <v>0</v>
      </c>
      <c r="L60" s="399"/>
      <c r="M60" s="399" t="str">
        <f t="shared" si="22"/>
        <v/>
      </c>
      <c r="N60" s="512"/>
      <c r="O60" s="509"/>
      <c r="P60" s="506"/>
      <c r="Q60" s="542"/>
      <c r="R60" s="191"/>
      <c r="S60" s="191"/>
      <c r="T60" s="503">
        <f t="shared" si="16"/>
        <v>0</v>
      </c>
      <c r="U60" s="509"/>
      <c r="V60" s="506"/>
      <c r="W60" s="191"/>
      <c r="X60" s="191"/>
      <c r="Y60" s="503">
        <f t="shared" si="17"/>
        <v>0</v>
      </c>
    </row>
    <row r="61" spans="1:25">
      <c r="A61" s="502" t="str">
        <f t="shared" si="18"/>
        <v/>
      </c>
      <c r="B61" s="509"/>
      <c r="C61" s="503">
        <f t="shared" si="19"/>
        <v>0</v>
      </c>
      <c r="D61" s="399">
        <f t="shared" si="20"/>
        <v>0</v>
      </c>
      <c r="E61" s="399">
        <f t="shared" si="15"/>
        <v>0</v>
      </c>
      <c r="F61" s="399">
        <f t="shared" si="15"/>
        <v>0</v>
      </c>
      <c r="G61" s="399">
        <f t="shared" si="15"/>
        <v>0</v>
      </c>
      <c r="H61" s="399">
        <f t="shared" si="15"/>
        <v>0</v>
      </c>
      <c r="I61" s="399">
        <f t="shared" si="15"/>
        <v>0</v>
      </c>
      <c r="J61" s="399"/>
      <c r="K61" s="503">
        <f t="shared" si="21"/>
        <v>0</v>
      </c>
      <c r="L61" s="399"/>
      <c r="M61" s="399" t="str">
        <f t="shared" si="22"/>
        <v/>
      </c>
      <c r="N61" s="512"/>
      <c r="O61" s="509"/>
      <c r="P61" s="506"/>
      <c r="Q61" s="542"/>
      <c r="R61" s="191"/>
      <c r="S61" s="191"/>
      <c r="T61" s="503">
        <f t="shared" si="16"/>
        <v>0</v>
      </c>
      <c r="U61" s="509"/>
      <c r="V61" s="506"/>
      <c r="W61" s="191"/>
      <c r="X61" s="191"/>
      <c r="Y61" s="503">
        <f t="shared" si="17"/>
        <v>0</v>
      </c>
    </row>
    <row r="62" spans="1:25">
      <c r="A62" s="502" t="str">
        <f t="shared" si="18"/>
        <v/>
      </c>
      <c r="B62" s="509"/>
      <c r="C62" s="503">
        <f t="shared" si="19"/>
        <v>0</v>
      </c>
      <c r="D62" s="399">
        <f t="shared" si="20"/>
        <v>0</v>
      </c>
      <c r="E62" s="399">
        <f t="shared" si="15"/>
        <v>0</v>
      </c>
      <c r="F62" s="399">
        <f t="shared" si="15"/>
        <v>0</v>
      </c>
      <c r="G62" s="399">
        <f t="shared" si="15"/>
        <v>0</v>
      </c>
      <c r="H62" s="399">
        <f t="shared" si="15"/>
        <v>0</v>
      </c>
      <c r="I62" s="399">
        <f t="shared" si="15"/>
        <v>0</v>
      </c>
      <c r="J62" s="399"/>
      <c r="K62" s="503">
        <f t="shared" si="21"/>
        <v>0</v>
      </c>
      <c r="L62" s="399"/>
      <c r="M62" s="399" t="str">
        <f t="shared" si="22"/>
        <v/>
      </c>
      <c r="N62" s="512"/>
      <c r="O62" s="509"/>
      <c r="P62" s="506"/>
      <c r="Q62" s="542"/>
      <c r="R62" s="191"/>
      <c r="S62" s="191"/>
      <c r="T62" s="503">
        <f t="shared" si="16"/>
        <v>0</v>
      </c>
      <c r="U62" s="509"/>
      <c r="V62" s="506"/>
      <c r="W62" s="191"/>
      <c r="X62" s="191"/>
      <c r="Y62" s="503">
        <f t="shared" si="17"/>
        <v>0</v>
      </c>
    </row>
    <row r="63" spans="1:25">
      <c r="A63" s="502" t="str">
        <f t="shared" si="18"/>
        <v/>
      </c>
      <c r="B63" s="509"/>
      <c r="C63" s="503">
        <f t="shared" si="19"/>
        <v>0</v>
      </c>
      <c r="D63" s="399">
        <f t="shared" si="20"/>
        <v>0</v>
      </c>
      <c r="E63" s="399">
        <f t="shared" si="15"/>
        <v>0</v>
      </c>
      <c r="F63" s="399">
        <f t="shared" si="15"/>
        <v>0</v>
      </c>
      <c r="G63" s="399">
        <f t="shared" si="15"/>
        <v>0</v>
      </c>
      <c r="H63" s="399">
        <f t="shared" si="15"/>
        <v>0</v>
      </c>
      <c r="I63" s="399">
        <f t="shared" si="15"/>
        <v>0</v>
      </c>
      <c r="J63" s="399"/>
      <c r="K63" s="503">
        <f t="shared" si="21"/>
        <v>0</v>
      </c>
      <c r="L63" s="399"/>
      <c r="M63" s="399" t="str">
        <f t="shared" si="22"/>
        <v/>
      </c>
      <c r="N63" s="512"/>
      <c r="O63" s="509"/>
      <c r="P63" s="506"/>
      <c r="Q63" s="542"/>
      <c r="R63" s="191"/>
      <c r="S63" s="191"/>
      <c r="T63" s="503">
        <f t="shared" si="16"/>
        <v>0</v>
      </c>
      <c r="U63" s="509"/>
      <c r="V63" s="506"/>
      <c r="W63" s="191"/>
      <c r="X63" s="191"/>
      <c r="Y63" s="503">
        <f t="shared" si="17"/>
        <v>0</v>
      </c>
    </row>
    <row r="64" spans="1:25">
      <c r="A64" s="502" t="str">
        <f t="shared" si="18"/>
        <v/>
      </c>
      <c r="B64" s="509"/>
      <c r="C64" s="503">
        <f t="shared" si="19"/>
        <v>0</v>
      </c>
      <c r="D64" s="399">
        <f t="shared" si="20"/>
        <v>0</v>
      </c>
      <c r="E64" s="399">
        <f t="shared" si="15"/>
        <v>0</v>
      </c>
      <c r="F64" s="399">
        <f t="shared" si="15"/>
        <v>0</v>
      </c>
      <c r="G64" s="399">
        <f t="shared" si="15"/>
        <v>0</v>
      </c>
      <c r="H64" s="399">
        <f t="shared" si="15"/>
        <v>0</v>
      </c>
      <c r="I64" s="399">
        <f t="shared" si="15"/>
        <v>0</v>
      </c>
      <c r="J64" s="399"/>
      <c r="K64" s="503">
        <f t="shared" si="21"/>
        <v>0</v>
      </c>
      <c r="L64" s="399"/>
      <c r="M64" s="399" t="str">
        <f t="shared" si="22"/>
        <v/>
      </c>
      <c r="N64" s="512"/>
      <c r="O64" s="509"/>
      <c r="P64" s="506"/>
      <c r="Q64" s="542"/>
      <c r="R64" s="191"/>
      <c r="S64" s="191"/>
      <c r="T64" s="503">
        <f t="shared" si="16"/>
        <v>0</v>
      </c>
      <c r="U64" s="509"/>
      <c r="V64" s="506"/>
      <c r="W64" s="191"/>
      <c r="X64" s="191"/>
      <c r="Y64" s="503">
        <f t="shared" si="17"/>
        <v>0</v>
      </c>
    </row>
    <row r="65" spans="1:25">
      <c r="A65" s="502" t="str">
        <f t="shared" si="18"/>
        <v/>
      </c>
      <c r="B65" s="509"/>
      <c r="C65" s="503">
        <f t="shared" si="19"/>
        <v>0</v>
      </c>
      <c r="D65" s="399">
        <f t="shared" si="20"/>
        <v>0</v>
      </c>
      <c r="E65" s="399">
        <f t="shared" si="15"/>
        <v>0</v>
      </c>
      <c r="F65" s="399">
        <f t="shared" si="15"/>
        <v>0</v>
      </c>
      <c r="G65" s="399">
        <f t="shared" si="15"/>
        <v>0</v>
      </c>
      <c r="H65" s="399">
        <f t="shared" si="15"/>
        <v>0</v>
      </c>
      <c r="I65" s="399">
        <f t="shared" si="15"/>
        <v>0</v>
      </c>
      <c r="J65" s="399"/>
      <c r="K65" s="503">
        <f t="shared" si="21"/>
        <v>0</v>
      </c>
      <c r="L65" s="399"/>
      <c r="M65" s="399" t="str">
        <f t="shared" si="22"/>
        <v/>
      </c>
      <c r="N65" s="512"/>
      <c r="O65" s="509"/>
      <c r="P65" s="506"/>
      <c r="Q65" s="542"/>
      <c r="R65" s="191"/>
      <c r="S65" s="191"/>
      <c r="T65" s="503">
        <f t="shared" si="16"/>
        <v>0</v>
      </c>
      <c r="U65" s="509"/>
      <c r="V65" s="506"/>
      <c r="W65" s="191"/>
      <c r="X65" s="191"/>
      <c r="Y65" s="503">
        <f t="shared" si="17"/>
        <v>0</v>
      </c>
    </row>
    <row r="66" spans="1:25">
      <c r="A66" s="502" t="str">
        <f t="shared" si="18"/>
        <v/>
      </c>
      <c r="B66" s="509"/>
      <c r="C66" s="503">
        <f t="shared" si="19"/>
        <v>0</v>
      </c>
      <c r="D66" s="399">
        <f t="shared" si="20"/>
        <v>0</v>
      </c>
      <c r="E66" s="399">
        <f t="shared" si="15"/>
        <v>0</v>
      </c>
      <c r="F66" s="399">
        <f t="shared" si="15"/>
        <v>0</v>
      </c>
      <c r="G66" s="399">
        <f t="shared" si="15"/>
        <v>0</v>
      </c>
      <c r="H66" s="399">
        <f t="shared" si="15"/>
        <v>0</v>
      </c>
      <c r="I66" s="399">
        <f t="shared" si="15"/>
        <v>0</v>
      </c>
      <c r="J66" s="399"/>
      <c r="K66" s="503">
        <f t="shared" si="21"/>
        <v>0</v>
      </c>
      <c r="L66" s="399"/>
      <c r="M66" s="399" t="str">
        <f t="shared" si="22"/>
        <v/>
      </c>
      <c r="N66" s="512"/>
      <c r="O66" s="509"/>
      <c r="P66" s="506"/>
      <c r="Q66" s="542"/>
      <c r="R66" s="191"/>
      <c r="S66" s="191"/>
      <c r="T66" s="503">
        <f t="shared" si="16"/>
        <v>0</v>
      </c>
      <c r="U66" s="509"/>
      <c r="V66" s="506"/>
      <c r="W66" s="191"/>
      <c r="X66" s="191"/>
      <c r="Y66" s="503">
        <f t="shared" si="17"/>
        <v>0</v>
      </c>
    </row>
    <row r="67" spans="1:25">
      <c r="A67" s="502" t="str">
        <f t="shared" si="18"/>
        <v/>
      </c>
      <c r="B67" s="509"/>
      <c r="C67" s="503">
        <f t="shared" si="19"/>
        <v>0</v>
      </c>
      <c r="D67" s="399">
        <f t="shared" si="20"/>
        <v>0</v>
      </c>
      <c r="E67" s="399">
        <f t="shared" si="15"/>
        <v>0</v>
      </c>
      <c r="F67" s="399">
        <f t="shared" si="15"/>
        <v>0</v>
      </c>
      <c r="G67" s="399">
        <f t="shared" si="15"/>
        <v>0</v>
      </c>
      <c r="H67" s="399">
        <f t="shared" si="15"/>
        <v>0</v>
      </c>
      <c r="I67" s="399">
        <f t="shared" si="15"/>
        <v>0</v>
      </c>
      <c r="J67" s="399"/>
      <c r="K67" s="503">
        <f t="shared" si="21"/>
        <v>0</v>
      </c>
      <c r="L67" s="399"/>
      <c r="M67" s="399" t="str">
        <f t="shared" si="22"/>
        <v/>
      </c>
      <c r="N67" s="512"/>
      <c r="O67" s="509"/>
      <c r="P67" s="506"/>
      <c r="Q67" s="542"/>
      <c r="R67" s="191"/>
      <c r="S67" s="191"/>
      <c r="T67" s="503">
        <f t="shared" si="16"/>
        <v>0</v>
      </c>
      <c r="U67" s="509"/>
      <c r="V67" s="506"/>
      <c r="W67" s="191"/>
      <c r="X67" s="191"/>
      <c r="Y67" s="503">
        <f t="shared" si="17"/>
        <v>0</v>
      </c>
    </row>
    <row r="68" spans="1:25">
      <c r="A68" s="502" t="str">
        <f t="shared" si="18"/>
        <v/>
      </c>
      <c r="B68" s="509"/>
      <c r="C68" s="503">
        <f t="shared" si="19"/>
        <v>0</v>
      </c>
      <c r="D68" s="399">
        <f t="shared" si="20"/>
        <v>0</v>
      </c>
      <c r="E68" s="399">
        <f t="shared" si="15"/>
        <v>0</v>
      </c>
      <c r="F68" s="399">
        <f t="shared" si="15"/>
        <v>0</v>
      </c>
      <c r="G68" s="399">
        <f t="shared" si="15"/>
        <v>0</v>
      </c>
      <c r="H68" s="399">
        <f t="shared" si="15"/>
        <v>0</v>
      </c>
      <c r="I68" s="399">
        <f t="shared" si="15"/>
        <v>0</v>
      </c>
      <c r="J68" s="399"/>
      <c r="K68" s="503">
        <f t="shared" si="21"/>
        <v>0</v>
      </c>
      <c r="L68" s="399"/>
      <c r="M68" s="399" t="str">
        <f t="shared" si="22"/>
        <v/>
      </c>
      <c r="N68" s="512"/>
      <c r="O68" s="509"/>
      <c r="P68" s="506"/>
      <c r="Q68" s="542"/>
      <c r="R68" s="191"/>
      <c r="S68" s="191"/>
      <c r="T68" s="503">
        <f t="shared" si="16"/>
        <v>0</v>
      </c>
      <c r="U68" s="509"/>
      <c r="V68" s="506"/>
      <c r="W68" s="191"/>
      <c r="X68" s="191"/>
      <c r="Y68" s="503">
        <f t="shared" si="17"/>
        <v>0</v>
      </c>
    </row>
    <row r="69" spans="1:25">
      <c r="A69" s="502" t="str">
        <f t="shared" si="18"/>
        <v/>
      </c>
      <c r="B69" s="509"/>
      <c r="C69" s="503">
        <f t="shared" si="19"/>
        <v>0</v>
      </c>
      <c r="D69" s="399">
        <f t="shared" si="20"/>
        <v>0</v>
      </c>
      <c r="E69" s="399">
        <f t="shared" si="20"/>
        <v>0</v>
      </c>
      <c r="F69" s="399">
        <f t="shared" si="20"/>
        <v>0</v>
      </c>
      <c r="G69" s="399">
        <f t="shared" si="20"/>
        <v>0</v>
      </c>
      <c r="H69" s="399">
        <f t="shared" si="20"/>
        <v>0</v>
      </c>
      <c r="I69" s="399">
        <f t="shared" si="20"/>
        <v>0</v>
      </c>
      <c r="J69" s="399"/>
      <c r="K69" s="503">
        <f t="shared" si="21"/>
        <v>0</v>
      </c>
      <c r="L69" s="399"/>
      <c r="M69" s="399" t="str">
        <f t="shared" si="22"/>
        <v/>
      </c>
      <c r="N69" s="512"/>
      <c r="O69" s="509"/>
      <c r="P69" s="506"/>
      <c r="Q69" s="542"/>
      <c r="R69" s="191"/>
      <c r="S69" s="191"/>
      <c r="T69" s="503">
        <f t="shared" si="16"/>
        <v>0</v>
      </c>
      <c r="U69" s="509"/>
      <c r="V69" s="506"/>
      <c r="W69" s="191"/>
      <c r="X69" s="191"/>
      <c r="Y69" s="503">
        <f t="shared" si="17"/>
        <v>0</v>
      </c>
    </row>
    <row r="70" spans="1:25" s="513" customFormat="1">
      <c r="A70" s="502" t="str">
        <f>IF(B70&lt;&gt;"",#REF!+1,"")</f>
        <v/>
      </c>
      <c r="B70" s="541"/>
      <c r="C70" s="503"/>
      <c r="D70" s="399"/>
      <c r="E70" s="399"/>
      <c r="F70" s="399"/>
      <c r="G70" s="399"/>
      <c r="H70" s="399"/>
      <c r="I70" s="399"/>
      <c r="J70" s="399"/>
      <c r="K70" s="503"/>
      <c r="L70" s="508"/>
      <c r="M70" s="399"/>
      <c r="N70" s="512"/>
      <c r="O70" s="509"/>
      <c r="P70" s="506"/>
      <c r="Q70" s="542"/>
      <c r="R70" s="191"/>
      <c r="S70" s="191"/>
      <c r="T70" s="503">
        <f t="shared" si="16"/>
        <v>0</v>
      </c>
      <c r="U70" s="509"/>
      <c r="V70" s="506"/>
      <c r="W70" s="191"/>
      <c r="X70" s="191"/>
      <c r="Y70" s="503">
        <f t="shared" si="17"/>
        <v>0</v>
      </c>
    </row>
    <row r="71" spans="1:25" s="485" customFormat="1">
      <c r="A71" s="514"/>
      <c r="B71" s="515" t="s">
        <v>295</v>
      </c>
      <c r="C71" s="516">
        <f>SUM(C53:C70)</f>
        <v>0</v>
      </c>
      <c r="D71" s="517"/>
      <c r="E71" s="517">
        <f>$Y$71</f>
        <v>13860000</v>
      </c>
      <c r="F71" s="517">
        <v>23220000</v>
      </c>
      <c r="G71" s="517"/>
      <c r="H71" s="517">
        <v>18250000</v>
      </c>
      <c r="I71" s="516">
        <v>2472273</v>
      </c>
      <c r="J71" s="516">
        <f>ROUND(SUM(J53:J70),0)</f>
        <v>0</v>
      </c>
      <c r="K71" s="516">
        <f>ROUND(SUM(K53:K70),0)</f>
        <v>0</v>
      </c>
      <c r="L71" s="516">
        <f>ROUND(SUM(L53:L70),0)</f>
        <v>0</v>
      </c>
      <c r="M71" s="516"/>
      <c r="N71" s="488"/>
      <c r="O71" s="537"/>
      <c r="P71" s="538"/>
      <c r="Q71" s="538"/>
      <c r="R71" s="539"/>
      <c r="S71" s="912"/>
      <c r="T71" s="523">
        <f>SUM(T53:T70)</f>
        <v>0</v>
      </c>
      <c r="U71" s="537"/>
      <c r="V71" s="538"/>
      <c r="W71" s="539"/>
      <c r="X71" s="912"/>
      <c r="Y71" s="523">
        <f>SUM(Y53:Y70)</f>
        <v>13860000</v>
      </c>
    </row>
    <row r="72" spans="1:25" s="485" customFormat="1">
      <c r="A72" s="518"/>
      <c r="B72" s="519"/>
      <c r="C72" s="520"/>
      <c r="D72" s="490"/>
      <c r="E72" s="490"/>
      <c r="F72" s="490"/>
      <c r="G72" s="490"/>
      <c r="H72" s="490"/>
      <c r="I72" s="490"/>
      <c r="J72" s="520"/>
      <c r="K72" s="520"/>
      <c r="L72" s="520"/>
      <c r="M72" s="520"/>
      <c r="N72" s="488"/>
      <c r="O72" s="484"/>
      <c r="P72" s="489"/>
      <c r="Q72" s="489"/>
      <c r="R72" s="484"/>
      <c r="S72" s="484"/>
      <c r="T72" s="481"/>
      <c r="U72" s="484"/>
      <c r="V72" s="489"/>
      <c r="W72" s="484"/>
      <c r="X72" s="484"/>
      <c r="Y72" s="481"/>
    </row>
    <row r="73" spans="1:25" ht="18" customHeight="1">
      <c r="A73" s="485" t="s">
        <v>282</v>
      </c>
      <c r="B73" s="485"/>
      <c r="C73" s="484"/>
      <c r="D73" s="484"/>
      <c r="E73" s="484"/>
      <c r="F73" s="484"/>
      <c r="G73" s="484"/>
      <c r="H73" s="484"/>
      <c r="I73" s="486"/>
      <c r="J73" s="484"/>
      <c r="K73" s="484"/>
      <c r="L73" s="487"/>
      <c r="M73" s="484"/>
      <c r="N73" s="488"/>
      <c r="O73" s="484"/>
      <c r="P73" s="489"/>
      <c r="Q73" s="489"/>
      <c r="U73" s="484"/>
      <c r="V73" s="489"/>
    </row>
    <row r="74" spans="1:25" ht="18.75" customHeight="1">
      <c r="A74" s="490" t="s">
        <v>1563</v>
      </c>
      <c r="B74" s="490"/>
      <c r="C74" s="490"/>
      <c r="D74" s="490"/>
      <c r="E74" s="490"/>
      <c r="F74" s="490"/>
      <c r="G74" s="490"/>
      <c r="H74" s="490"/>
      <c r="I74" s="490"/>
      <c r="J74" s="490"/>
      <c r="K74" s="490"/>
      <c r="L74" s="490"/>
      <c r="M74" s="490"/>
      <c r="N74" s="488"/>
      <c r="O74" s="484"/>
      <c r="P74" s="489"/>
      <c r="Q74" s="489"/>
      <c r="U74" s="484"/>
      <c r="V74" s="489"/>
    </row>
    <row r="75" spans="1:25" ht="18.75" customHeight="1">
      <c r="A75" s="491"/>
      <c r="B75" s="491"/>
      <c r="C75" s="491"/>
      <c r="D75" s="491"/>
      <c r="E75" s="491"/>
      <c r="F75" s="491"/>
      <c r="G75" s="491"/>
      <c r="H75" s="491"/>
      <c r="I75" s="490"/>
      <c r="J75" s="491"/>
      <c r="K75" s="491"/>
      <c r="L75" s="492"/>
      <c r="M75" s="491"/>
      <c r="N75" s="488"/>
      <c r="O75" s="484"/>
      <c r="P75" s="489"/>
      <c r="Q75" s="489"/>
      <c r="U75" s="484"/>
      <c r="V75" s="489"/>
    </row>
    <row r="76" spans="1:25" ht="12.75" customHeight="1">
      <c r="A76" s="493"/>
      <c r="B76" s="493"/>
      <c r="C76" s="493"/>
      <c r="D76" s="493"/>
      <c r="E76" s="493"/>
      <c r="F76" s="493"/>
      <c r="G76" s="493"/>
      <c r="H76" s="493"/>
      <c r="I76" s="493"/>
      <c r="J76" s="493"/>
      <c r="K76" s="493"/>
      <c r="L76" s="494"/>
      <c r="M76" s="493"/>
      <c r="N76" s="488"/>
      <c r="O76" s="484"/>
      <c r="P76" s="489"/>
      <c r="Q76" s="489"/>
      <c r="U76" s="484"/>
      <c r="V76" s="489"/>
    </row>
    <row r="77" spans="1:25" s="501" customFormat="1" ht="30.75" customHeight="1">
      <c r="A77" s="496" t="s">
        <v>35</v>
      </c>
      <c r="B77" s="496" t="s">
        <v>283</v>
      </c>
      <c r="C77" s="497" t="s">
        <v>287</v>
      </c>
      <c r="D77" s="497" t="s">
        <v>1557</v>
      </c>
      <c r="E77" s="497" t="s">
        <v>288</v>
      </c>
      <c r="F77" s="497" t="s">
        <v>1558</v>
      </c>
      <c r="G77" s="497" t="s">
        <v>289</v>
      </c>
      <c r="H77" s="498" t="s">
        <v>290</v>
      </c>
      <c r="I77" s="497" t="s">
        <v>1559</v>
      </c>
      <c r="J77" s="498" t="s">
        <v>291</v>
      </c>
      <c r="K77" s="497" t="s">
        <v>292</v>
      </c>
      <c r="L77" s="499" t="s">
        <v>285</v>
      </c>
      <c r="M77" s="497" t="s">
        <v>293</v>
      </c>
      <c r="N77" s="500"/>
      <c r="O77" s="496" t="s">
        <v>283</v>
      </c>
      <c r="P77" s="497" t="s">
        <v>276</v>
      </c>
      <c r="Q77" s="497"/>
      <c r="R77" s="497" t="s">
        <v>239</v>
      </c>
      <c r="S77" s="497" t="s">
        <v>286</v>
      </c>
      <c r="T77" s="497" t="s">
        <v>294</v>
      </c>
      <c r="U77" s="496" t="s">
        <v>283</v>
      </c>
      <c r="V77" s="497" t="s">
        <v>276</v>
      </c>
      <c r="W77" s="497" t="s">
        <v>239</v>
      </c>
      <c r="X77" s="497" t="s">
        <v>286</v>
      </c>
      <c r="Y77" s="496" t="s">
        <v>294</v>
      </c>
    </row>
    <row r="78" spans="1:25">
      <c r="A78" s="502" t="str">
        <f>IF(B78&lt;&gt;"",ROW()-(ROW()-1),"")</f>
        <v/>
      </c>
      <c r="B78" s="509"/>
      <c r="C78" s="503">
        <f>T78</f>
        <v>0</v>
      </c>
      <c r="D78" s="399">
        <f>IF($L$100&lt;&gt;0,D$100/$L$100*$L78,0)</f>
        <v>0</v>
      </c>
      <c r="E78" s="399">
        <f t="shared" ref="E78:J93" si="23">IF($L$100&lt;&gt;0,E$100/$L$100*$L78,0)</f>
        <v>0</v>
      </c>
      <c r="F78" s="399">
        <f t="shared" si="23"/>
        <v>0</v>
      </c>
      <c r="G78" s="399">
        <f t="shared" si="23"/>
        <v>0</v>
      </c>
      <c r="H78" s="399">
        <f t="shared" si="23"/>
        <v>0</v>
      </c>
      <c r="I78" s="399">
        <f t="shared" si="23"/>
        <v>0</v>
      </c>
      <c r="J78" s="399">
        <f t="shared" si="23"/>
        <v>0</v>
      </c>
      <c r="K78" s="503">
        <f>C78+E78+D78+G78+I78+H78+J78</f>
        <v>0</v>
      </c>
      <c r="L78" s="399"/>
      <c r="M78" s="399" t="str">
        <f>IF(L78&lt;&gt;"",K78/L78,"")</f>
        <v/>
      </c>
      <c r="N78" s="512"/>
      <c r="O78" s="505"/>
      <c r="P78" s="542"/>
      <c r="Q78" s="542"/>
      <c r="R78" s="191"/>
      <c r="S78" s="507"/>
      <c r="T78" s="503">
        <f t="shared" ref="T78:T99" si="24">ROUND(R78*S78,0)</f>
        <v>0</v>
      </c>
      <c r="U78" s="505" t="s">
        <v>458</v>
      </c>
      <c r="V78" s="542">
        <v>41183</v>
      </c>
      <c r="W78" s="191">
        <v>100</v>
      </c>
      <c r="X78" s="507">
        <v>25000</v>
      </c>
      <c r="Y78" s="503">
        <f t="shared" ref="Y78:Y99" si="25">ROUND(W78*X78,0)</f>
        <v>2500000</v>
      </c>
    </row>
    <row r="79" spans="1:25">
      <c r="A79" s="502" t="str">
        <f t="shared" ref="A79:A98" si="26">IF(B79&lt;&gt;"",ROW()-(ROW()-1),"")</f>
        <v/>
      </c>
      <c r="B79" s="509"/>
      <c r="C79" s="503">
        <f t="shared" ref="C79:C98" si="27">T79</f>
        <v>0</v>
      </c>
      <c r="D79" s="399">
        <f t="shared" ref="D79:I98" si="28">IF($L$100&lt;&gt;0,D$100/$L$100*$L79,0)</f>
        <v>0</v>
      </c>
      <c r="E79" s="399">
        <f t="shared" si="23"/>
        <v>0</v>
      </c>
      <c r="F79" s="399">
        <f t="shared" si="23"/>
        <v>0</v>
      </c>
      <c r="G79" s="399">
        <f t="shared" si="23"/>
        <v>0</v>
      </c>
      <c r="H79" s="399">
        <f t="shared" si="23"/>
        <v>0</v>
      </c>
      <c r="I79" s="399">
        <f t="shared" si="23"/>
        <v>0</v>
      </c>
      <c r="J79" s="399"/>
      <c r="K79" s="503">
        <f t="shared" ref="K79:K98" si="29">C79+E79+D79+G79+I79+H79+J79</f>
        <v>0</v>
      </c>
      <c r="L79" s="399"/>
      <c r="M79" s="399" t="str">
        <f t="shared" ref="M79:M98" si="30">IF(L79&lt;&gt;"",K79/L79,"")</f>
        <v/>
      </c>
      <c r="N79" s="512"/>
      <c r="O79" s="509"/>
      <c r="P79" s="542"/>
      <c r="Q79" s="542"/>
      <c r="R79" s="191"/>
      <c r="S79" s="510"/>
      <c r="T79" s="503">
        <f t="shared" si="24"/>
        <v>0</v>
      </c>
      <c r="U79" s="509" t="s">
        <v>411</v>
      </c>
      <c r="V79" s="542">
        <v>41183</v>
      </c>
      <c r="W79" s="191">
        <v>37</v>
      </c>
      <c r="X79" s="191">
        <v>42000</v>
      </c>
      <c r="Y79" s="503">
        <f t="shared" si="25"/>
        <v>1554000</v>
      </c>
    </row>
    <row r="80" spans="1:25">
      <c r="A80" s="502" t="str">
        <f t="shared" si="26"/>
        <v/>
      </c>
      <c r="B80" s="509"/>
      <c r="C80" s="503">
        <f t="shared" si="27"/>
        <v>0</v>
      </c>
      <c r="D80" s="399">
        <f t="shared" si="28"/>
        <v>0</v>
      </c>
      <c r="E80" s="399">
        <f t="shared" si="23"/>
        <v>0</v>
      </c>
      <c r="F80" s="399">
        <f t="shared" si="23"/>
        <v>0</v>
      </c>
      <c r="G80" s="399">
        <f t="shared" si="23"/>
        <v>0</v>
      </c>
      <c r="H80" s="399">
        <f t="shared" si="23"/>
        <v>0</v>
      </c>
      <c r="I80" s="399">
        <f t="shared" si="23"/>
        <v>0</v>
      </c>
      <c r="J80" s="399"/>
      <c r="K80" s="503">
        <f t="shared" si="29"/>
        <v>0</v>
      </c>
      <c r="L80" s="399"/>
      <c r="M80" s="399" t="str">
        <f t="shared" si="30"/>
        <v/>
      </c>
      <c r="N80" s="512"/>
      <c r="O80" s="509"/>
      <c r="P80" s="542"/>
      <c r="Q80" s="542"/>
      <c r="R80" s="191"/>
      <c r="S80" s="510"/>
      <c r="T80" s="503">
        <f t="shared" si="24"/>
        <v>0</v>
      </c>
      <c r="U80" s="509" t="s">
        <v>1561</v>
      </c>
      <c r="V80" s="542">
        <v>41183</v>
      </c>
      <c r="W80" s="277">
        <v>39561</v>
      </c>
      <c r="X80" s="277">
        <v>250</v>
      </c>
      <c r="Y80" s="503">
        <f t="shared" si="25"/>
        <v>9890250</v>
      </c>
    </row>
    <row r="81" spans="1:25">
      <c r="A81" s="502" t="str">
        <f t="shared" si="26"/>
        <v/>
      </c>
      <c r="B81" s="509"/>
      <c r="C81" s="503">
        <f t="shared" si="27"/>
        <v>0</v>
      </c>
      <c r="D81" s="399">
        <f t="shared" si="28"/>
        <v>0</v>
      </c>
      <c r="E81" s="399">
        <f t="shared" si="23"/>
        <v>0</v>
      </c>
      <c r="F81" s="399">
        <f t="shared" si="23"/>
        <v>0</v>
      </c>
      <c r="G81" s="399">
        <f t="shared" si="23"/>
        <v>0</v>
      </c>
      <c r="H81" s="399">
        <f t="shared" si="23"/>
        <v>0</v>
      </c>
      <c r="I81" s="399">
        <f t="shared" si="23"/>
        <v>0</v>
      </c>
      <c r="J81" s="399"/>
      <c r="K81" s="503">
        <f t="shared" si="29"/>
        <v>0</v>
      </c>
      <c r="L81" s="399"/>
      <c r="M81" s="399" t="str">
        <f t="shared" si="30"/>
        <v/>
      </c>
      <c r="N81" s="512"/>
      <c r="O81" s="509"/>
      <c r="P81" s="542"/>
      <c r="Q81" s="542"/>
      <c r="R81" s="191"/>
      <c r="S81" s="510"/>
      <c r="T81" s="503">
        <f t="shared" si="24"/>
        <v>0</v>
      </c>
      <c r="U81" s="509"/>
      <c r="V81" s="542"/>
      <c r="W81" s="191"/>
      <c r="X81" s="510"/>
      <c r="Y81" s="503">
        <f t="shared" si="25"/>
        <v>0</v>
      </c>
    </row>
    <row r="82" spans="1:25">
      <c r="A82" s="502" t="str">
        <f t="shared" si="26"/>
        <v/>
      </c>
      <c r="B82" s="509"/>
      <c r="C82" s="503">
        <f t="shared" si="27"/>
        <v>0</v>
      </c>
      <c r="D82" s="399">
        <f t="shared" si="28"/>
        <v>0</v>
      </c>
      <c r="E82" s="399">
        <f t="shared" si="23"/>
        <v>0</v>
      </c>
      <c r="F82" s="399">
        <f t="shared" si="23"/>
        <v>0</v>
      </c>
      <c r="G82" s="399">
        <f t="shared" si="23"/>
        <v>0</v>
      </c>
      <c r="H82" s="399">
        <f t="shared" si="23"/>
        <v>0</v>
      </c>
      <c r="I82" s="399">
        <f t="shared" si="23"/>
        <v>0</v>
      </c>
      <c r="J82" s="399"/>
      <c r="K82" s="503">
        <f t="shared" si="29"/>
        <v>0</v>
      </c>
      <c r="L82" s="399"/>
      <c r="M82" s="399" t="str">
        <f t="shared" si="30"/>
        <v/>
      </c>
      <c r="N82" s="512"/>
      <c r="O82" s="509"/>
      <c r="P82" s="542"/>
      <c r="Q82" s="542"/>
      <c r="R82" s="191"/>
      <c r="S82" s="510"/>
      <c r="T82" s="503">
        <f t="shared" si="24"/>
        <v>0</v>
      </c>
      <c r="U82" s="509"/>
      <c r="V82" s="542"/>
      <c r="W82" s="191"/>
      <c r="X82" s="510"/>
      <c r="Y82" s="503">
        <f t="shared" si="25"/>
        <v>0</v>
      </c>
    </row>
    <row r="83" spans="1:25">
      <c r="A83" s="502" t="str">
        <f t="shared" si="26"/>
        <v/>
      </c>
      <c r="B83" s="509"/>
      <c r="C83" s="503">
        <f t="shared" si="27"/>
        <v>0</v>
      </c>
      <c r="D83" s="399">
        <f t="shared" si="28"/>
        <v>0</v>
      </c>
      <c r="E83" s="399">
        <f t="shared" si="23"/>
        <v>0</v>
      </c>
      <c r="F83" s="399">
        <f t="shared" si="23"/>
        <v>0</v>
      </c>
      <c r="G83" s="399">
        <f t="shared" si="23"/>
        <v>0</v>
      </c>
      <c r="H83" s="399">
        <f t="shared" si="23"/>
        <v>0</v>
      </c>
      <c r="I83" s="399">
        <f t="shared" si="23"/>
        <v>0</v>
      </c>
      <c r="J83" s="399"/>
      <c r="K83" s="503">
        <f t="shared" si="29"/>
        <v>0</v>
      </c>
      <c r="L83" s="399"/>
      <c r="M83" s="399" t="str">
        <f t="shared" si="30"/>
        <v/>
      </c>
      <c r="N83" s="512"/>
      <c r="O83" s="509"/>
      <c r="P83" s="542"/>
      <c r="Q83" s="542"/>
      <c r="R83" s="191"/>
      <c r="S83" s="510"/>
      <c r="T83" s="503">
        <f t="shared" si="24"/>
        <v>0</v>
      </c>
      <c r="U83" s="509"/>
      <c r="V83" s="542"/>
      <c r="W83" s="191"/>
      <c r="X83" s="510"/>
      <c r="Y83" s="503">
        <f t="shared" si="25"/>
        <v>0</v>
      </c>
    </row>
    <row r="84" spans="1:25">
      <c r="A84" s="502" t="str">
        <f t="shared" si="26"/>
        <v/>
      </c>
      <c r="B84" s="509"/>
      <c r="C84" s="503">
        <f t="shared" si="27"/>
        <v>0</v>
      </c>
      <c r="D84" s="399">
        <f t="shared" si="28"/>
        <v>0</v>
      </c>
      <c r="E84" s="399">
        <f t="shared" si="23"/>
        <v>0</v>
      </c>
      <c r="F84" s="399">
        <f t="shared" si="23"/>
        <v>0</v>
      </c>
      <c r="G84" s="399">
        <f t="shared" si="23"/>
        <v>0</v>
      </c>
      <c r="H84" s="399">
        <f t="shared" si="23"/>
        <v>0</v>
      </c>
      <c r="I84" s="399">
        <f t="shared" si="23"/>
        <v>0</v>
      </c>
      <c r="J84" s="399"/>
      <c r="K84" s="503">
        <f t="shared" si="29"/>
        <v>0</v>
      </c>
      <c r="L84" s="399"/>
      <c r="M84" s="399" t="str">
        <f t="shared" si="30"/>
        <v/>
      </c>
      <c r="N84" s="512"/>
      <c r="O84" s="509"/>
      <c r="P84" s="542"/>
      <c r="Q84" s="542"/>
      <c r="R84" s="191"/>
      <c r="S84" s="510"/>
      <c r="T84" s="503">
        <f t="shared" si="24"/>
        <v>0</v>
      </c>
      <c r="U84" s="509"/>
      <c r="V84" s="542"/>
      <c r="W84" s="191"/>
      <c r="X84" s="510"/>
      <c r="Y84" s="503">
        <f t="shared" si="25"/>
        <v>0</v>
      </c>
    </row>
    <row r="85" spans="1:25">
      <c r="A85" s="502" t="str">
        <f t="shared" si="26"/>
        <v/>
      </c>
      <c r="B85" s="509"/>
      <c r="C85" s="503">
        <f t="shared" si="27"/>
        <v>0</v>
      </c>
      <c r="D85" s="399">
        <f t="shared" si="28"/>
        <v>0</v>
      </c>
      <c r="E85" s="399">
        <f t="shared" si="23"/>
        <v>0</v>
      </c>
      <c r="F85" s="399">
        <f t="shared" si="23"/>
        <v>0</v>
      </c>
      <c r="G85" s="399">
        <f t="shared" si="23"/>
        <v>0</v>
      </c>
      <c r="H85" s="399">
        <f t="shared" si="23"/>
        <v>0</v>
      </c>
      <c r="I85" s="399">
        <f t="shared" si="23"/>
        <v>0</v>
      </c>
      <c r="J85" s="399"/>
      <c r="K85" s="503">
        <f t="shared" si="29"/>
        <v>0</v>
      </c>
      <c r="L85" s="399"/>
      <c r="M85" s="399" t="str">
        <f t="shared" si="30"/>
        <v/>
      </c>
      <c r="N85" s="512"/>
      <c r="O85" s="509"/>
      <c r="P85" s="542"/>
      <c r="Q85" s="542"/>
      <c r="R85" s="191"/>
      <c r="S85" s="510"/>
      <c r="T85" s="503">
        <f t="shared" si="24"/>
        <v>0</v>
      </c>
      <c r="U85" s="509"/>
      <c r="V85" s="542"/>
      <c r="W85" s="191"/>
      <c r="X85" s="510"/>
      <c r="Y85" s="503">
        <f t="shared" si="25"/>
        <v>0</v>
      </c>
    </row>
    <row r="86" spans="1:25">
      <c r="A86" s="502" t="str">
        <f t="shared" si="26"/>
        <v/>
      </c>
      <c r="B86" s="509"/>
      <c r="C86" s="503">
        <f t="shared" si="27"/>
        <v>0</v>
      </c>
      <c r="D86" s="399">
        <f t="shared" si="28"/>
        <v>0</v>
      </c>
      <c r="E86" s="399">
        <f t="shared" si="23"/>
        <v>0</v>
      </c>
      <c r="F86" s="399">
        <f t="shared" si="23"/>
        <v>0</v>
      </c>
      <c r="G86" s="399">
        <f t="shared" si="23"/>
        <v>0</v>
      </c>
      <c r="H86" s="399">
        <f t="shared" si="23"/>
        <v>0</v>
      </c>
      <c r="I86" s="399">
        <f t="shared" si="23"/>
        <v>0</v>
      </c>
      <c r="J86" s="399"/>
      <c r="K86" s="503">
        <f t="shared" si="29"/>
        <v>0</v>
      </c>
      <c r="L86" s="399"/>
      <c r="M86" s="399" t="str">
        <f t="shared" si="30"/>
        <v/>
      </c>
      <c r="N86" s="512"/>
      <c r="O86" s="509"/>
      <c r="P86" s="542"/>
      <c r="Q86" s="542"/>
      <c r="R86" s="191"/>
      <c r="S86" s="510"/>
      <c r="T86" s="503">
        <f t="shared" si="24"/>
        <v>0</v>
      </c>
      <c r="U86" s="509"/>
      <c r="V86" s="542"/>
      <c r="W86" s="191"/>
      <c r="X86" s="510"/>
      <c r="Y86" s="503">
        <f t="shared" si="25"/>
        <v>0</v>
      </c>
    </row>
    <row r="87" spans="1:25">
      <c r="A87" s="502" t="str">
        <f t="shared" si="26"/>
        <v/>
      </c>
      <c r="B87" s="509"/>
      <c r="C87" s="503">
        <f t="shared" si="27"/>
        <v>0</v>
      </c>
      <c r="D87" s="399">
        <f t="shared" si="28"/>
        <v>0</v>
      </c>
      <c r="E87" s="399">
        <f t="shared" si="23"/>
        <v>0</v>
      </c>
      <c r="F87" s="399">
        <f t="shared" si="23"/>
        <v>0</v>
      </c>
      <c r="G87" s="399">
        <f t="shared" si="23"/>
        <v>0</v>
      </c>
      <c r="H87" s="399">
        <f t="shared" si="23"/>
        <v>0</v>
      </c>
      <c r="I87" s="399">
        <f t="shared" si="23"/>
        <v>0</v>
      </c>
      <c r="J87" s="399"/>
      <c r="K87" s="503">
        <f t="shared" si="29"/>
        <v>0</v>
      </c>
      <c r="L87" s="399"/>
      <c r="M87" s="399" t="str">
        <f t="shared" si="30"/>
        <v/>
      </c>
      <c r="N87" s="512"/>
      <c r="O87" s="509"/>
      <c r="P87" s="542"/>
      <c r="Q87" s="542"/>
      <c r="R87" s="191"/>
      <c r="S87" s="510"/>
      <c r="T87" s="503">
        <f t="shared" si="24"/>
        <v>0</v>
      </c>
      <c r="U87" s="509"/>
      <c r="V87" s="542"/>
      <c r="W87" s="191"/>
      <c r="X87" s="510"/>
      <c r="Y87" s="503">
        <f t="shared" si="25"/>
        <v>0</v>
      </c>
    </row>
    <row r="88" spans="1:25">
      <c r="A88" s="502" t="str">
        <f t="shared" si="26"/>
        <v/>
      </c>
      <c r="B88" s="509"/>
      <c r="C88" s="503">
        <f t="shared" si="27"/>
        <v>0</v>
      </c>
      <c r="D88" s="399">
        <f t="shared" si="28"/>
        <v>0</v>
      </c>
      <c r="E88" s="399">
        <f t="shared" si="23"/>
        <v>0</v>
      </c>
      <c r="F88" s="399">
        <f t="shared" si="23"/>
        <v>0</v>
      </c>
      <c r="G88" s="399">
        <f t="shared" si="23"/>
        <v>0</v>
      </c>
      <c r="H88" s="399">
        <f t="shared" si="23"/>
        <v>0</v>
      </c>
      <c r="I88" s="399">
        <f t="shared" si="23"/>
        <v>0</v>
      </c>
      <c r="J88" s="399"/>
      <c r="K88" s="503">
        <f t="shared" si="29"/>
        <v>0</v>
      </c>
      <c r="L88" s="399"/>
      <c r="M88" s="399" t="str">
        <f t="shared" si="30"/>
        <v/>
      </c>
      <c r="N88" s="512"/>
      <c r="O88" s="509"/>
      <c r="P88" s="542"/>
      <c r="Q88" s="542"/>
      <c r="R88" s="191"/>
      <c r="S88" s="510"/>
      <c r="T88" s="503">
        <f t="shared" si="24"/>
        <v>0</v>
      </c>
      <c r="U88" s="509"/>
      <c r="V88" s="542"/>
      <c r="W88" s="191"/>
      <c r="X88" s="510"/>
      <c r="Y88" s="503">
        <f t="shared" si="25"/>
        <v>0</v>
      </c>
    </row>
    <row r="89" spans="1:25">
      <c r="A89" s="502" t="str">
        <f t="shared" si="26"/>
        <v/>
      </c>
      <c r="B89" s="509"/>
      <c r="C89" s="503">
        <f t="shared" si="27"/>
        <v>0</v>
      </c>
      <c r="D89" s="399">
        <f t="shared" si="28"/>
        <v>0</v>
      </c>
      <c r="E89" s="399">
        <f t="shared" si="23"/>
        <v>0</v>
      </c>
      <c r="F89" s="399">
        <f t="shared" si="23"/>
        <v>0</v>
      </c>
      <c r="G89" s="399">
        <f t="shared" si="23"/>
        <v>0</v>
      </c>
      <c r="H89" s="399">
        <f t="shared" si="23"/>
        <v>0</v>
      </c>
      <c r="I89" s="399">
        <f t="shared" si="23"/>
        <v>0</v>
      </c>
      <c r="J89" s="399"/>
      <c r="K89" s="503">
        <f t="shared" si="29"/>
        <v>0</v>
      </c>
      <c r="L89" s="399"/>
      <c r="M89" s="399" t="str">
        <f t="shared" si="30"/>
        <v/>
      </c>
      <c r="N89" s="512"/>
      <c r="O89" s="509"/>
      <c r="P89" s="542"/>
      <c r="Q89" s="542"/>
      <c r="R89" s="191"/>
      <c r="S89" s="510"/>
      <c r="T89" s="503">
        <f t="shared" si="24"/>
        <v>0</v>
      </c>
      <c r="U89" s="509"/>
      <c r="V89" s="542"/>
      <c r="W89" s="191"/>
      <c r="X89" s="510"/>
      <c r="Y89" s="503">
        <f t="shared" si="25"/>
        <v>0</v>
      </c>
    </row>
    <row r="90" spans="1:25">
      <c r="A90" s="502" t="str">
        <f t="shared" si="26"/>
        <v/>
      </c>
      <c r="B90" s="509"/>
      <c r="C90" s="503">
        <f t="shared" si="27"/>
        <v>0</v>
      </c>
      <c r="D90" s="399">
        <f t="shared" si="28"/>
        <v>0</v>
      </c>
      <c r="E90" s="399">
        <f t="shared" si="23"/>
        <v>0</v>
      </c>
      <c r="F90" s="399">
        <f t="shared" si="23"/>
        <v>0</v>
      </c>
      <c r="G90" s="399">
        <f t="shared" si="23"/>
        <v>0</v>
      </c>
      <c r="H90" s="399">
        <f t="shared" si="23"/>
        <v>0</v>
      </c>
      <c r="I90" s="399">
        <f t="shared" si="23"/>
        <v>0</v>
      </c>
      <c r="J90" s="399"/>
      <c r="K90" s="503">
        <f t="shared" si="29"/>
        <v>0</v>
      </c>
      <c r="L90" s="399"/>
      <c r="M90" s="399" t="str">
        <f t="shared" si="30"/>
        <v/>
      </c>
      <c r="N90" s="512"/>
      <c r="O90" s="509"/>
      <c r="P90" s="542"/>
      <c r="Q90" s="542"/>
      <c r="R90" s="191"/>
      <c r="S90" s="510"/>
      <c r="T90" s="503">
        <f t="shared" si="24"/>
        <v>0</v>
      </c>
      <c r="U90" s="509"/>
      <c r="V90" s="542"/>
      <c r="W90" s="191"/>
      <c r="X90" s="510"/>
      <c r="Y90" s="503">
        <f t="shared" si="25"/>
        <v>0</v>
      </c>
    </row>
    <row r="91" spans="1:25">
      <c r="A91" s="502" t="str">
        <f t="shared" si="26"/>
        <v/>
      </c>
      <c r="B91" s="509"/>
      <c r="C91" s="503">
        <f t="shared" si="27"/>
        <v>0</v>
      </c>
      <c r="D91" s="399">
        <f t="shared" si="28"/>
        <v>0</v>
      </c>
      <c r="E91" s="399">
        <f t="shared" si="23"/>
        <v>0</v>
      </c>
      <c r="F91" s="399">
        <f t="shared" si="23"/>
        <v>0</v>
      </c>
      <c r="G91" s="399">
        <f t="shared" si="23"/>
        <v>0</v>
      </c>
      <c r="H91" s="399">
        <f t="shared" si="23"/>
        <v>0</v>
      </c>
      <c r="I91" s="399">
        <f t="shared" si="23"/>
        <v>0</v>
      </c>
      <c r="J91" s="399"/>
      <c r="K91" s="503">
        <f t="shared" si="29"/>
        <v>0</v>
      </c>
      <c r="L91" s="399"/>
      <c r="M91" s="399" t="str">
        <f t="shared" si="30"/>
        <v/>
      </c>
      <c r="N91" s="512"/>
      <c r="O91" s="509"/>
      <c r="P91" s="542"/>
      <c r="Q91" s="542"/>
      <c r="R91" s="191"/>
      <c r="S91" s="510"/>
      <c r="T91" s="503">
        <f t="shared" si="24"/>
        <v>0</v>
      </c>
      <c r="U91" s="509"/>
      <c r="V91" s="542"/>
      <c r="W91" s="191"/>
      <c r="X91" s="510"/>
      <c r="Y91" s="503">
        <f t="shared" si="25"/>
        <v>0</v>
      </c>
    </row>
    <row r="92" spans="1:25">
      <c r="A92" s="502" t="str">
        <f t="shared" si="26"/>
        <v/>
      </c>
      <c r="B92" s="509"/>
      <c r="C92" s="503">
        <f t="shared" si="27"/>
        <v>0</v>
      </c>
      <c r="D92" s="399">
        <f t="shared" si="28"/>
        <v>0</v>
      </c>
      <c r="E92" s="399">
        <f t="shared" si="23"/>
        <v>0</v>
      </c>
      <c r="F92" s="399">
        <f t="shared" si="23"/>
        <v>0</v>
      </c>
      <c r="G92" s="399">
        <f t="shared" si="23"/>
        <v>0</v>
      </c>
      <c r="H92" s="399">
        <f t="shared" si="23"/>
        <v>0</v>
      </c>
      <c r="I92" s="399">
        <f t="shared" si="23"/>
        <v>0</v>
      </c>
      <c r="J92" s="399"/>
      <c r="K92" s="503">
        <f t="shared" si="29"/>
        <v>0</v>
      </c>
      <c r="L92" s="399"/>
      <c r="M92" s="399" t="str">
        <f t="shared" si="30"/>
        <v/>
      </c>
      <c r="N92" s="512"/>
      <c r="O92" s="509"/>
      <c r="P92" s="542"/>
      <c r="Q92" s="542"/>
      <c r="R92" s="191"/>
      <c r="S92" s="510"/>
      <c r="T92" s="503">
        <f t="shared" si="24"/>
        <v>0</v>
      </c>
      <c r="U92" s="509"/>
      <c r="V92" s="542"/>
      <c r="W92" s="191"/>
      <c r="X92" s="510"/>
      <c r="Y92" s="503">
        <f t="shared" si="25"/>
        <v>0</v>
      </c>
    </row>
    <row r="93" spans="1:25">
      <c r="A93" s="502" t="str">
        <f t="shared" si="26"/>
        <v/>
      </c>
      <c r="B93" s="509"/>
      <c r="C93" s="503">
        <f t="shared" si="27"/>
        <v>0</v>
      </c>
      <c r="D93" s="399">
        <f t="shared" si="28"/>
        <v>0</v>
      </c>
      <c r="E93" s="399">
        <f t="shared" si="23"/>
        <v>0</v>
      </c>
      <c r="F93" s="399">
        <f t="shared" si="23"/>
        <v>0</v>
      </c>
      <c r="G93" s="399">
        <f t="shared" si="23"/>
        <v>0</v>
      </c>
      <c r="H93" s="399">
        <f t="shared" si="23"/>
        <v>0</v>
      </c>
      <c r="I93" s="399">
        <f t="shared" si="23"/>
        <v>0</v>
      </c>
      <c r="J93" s="399"/>
      <c r="K93" s="503">
        <f t="shared" si="29"/>
        <v>0</v>
      </c>
      <c r="L93" s="399"/>
      <c r="M93" s="399" t="str">
        <f t="shared" si="30"/>
        <v/>
      </c>
      <c r="N93" s="512"/>
      <c r="O93" s="509"/>
      <c r="P93" s="542"/>
      <c r="Q93" s="542"/>
      <c r="R93" s="191"/>
      <c r="S93" s="510"/>
      <c r="T93" s="503">
        <f t="shared" si="24"/>
        <v>0</v>
      </c>
      <c r="U93" s="509"/>
      <c r="V93" s="542"/>
      <c r="W93" s="191"/>
      <c r="X93" s="510"/>
      <c r="Y93" s="503">
        <f t="shared" si="25"/>
        <v>0</v>
      </c>
    </row>
    <row r="94" spans="1:25">
      <c r="A94" s="502" t="str">
        <f t="shared" si="26"/>
        <v/>
      </c>
      <c r="B94" s="509"/>
      <c r="C94" s="503">
        <f t="shared" si="27"/>
        <v>0</v>
      </c>
      <c r="D94" s="399">
        <f t="shared" si="28"/>
        <v>0</v>
      </c>
      <c r="E94" s="399">
        <f t="shared" si="28"/>
        <v>0</v>
      </c>
      <c r="F94" s="399">
        <f t="shared" si="28"/>
        <v>0</v>
      </c>
      <c r="G94" s="399">
        <f t="shared" si="28"/>
        <v>0</v>
      </c>
      <c r="H94" s="399">
        <f t="shared" si="28"/>
        <v>0</v>
      </c>
      <c r="I94" s="399">
        <f t="shared" si="28"/>
        <v>0</v>
      </c>
      <c r="J94" s="399"/>
      <c r="K94" s="503">
        <f t="shared" si="29"/>
        <v>0</v>
      </c>
      <c r="L94" s="399"/>
      <c r="M94" s="399" t="str">
        <f t="shared" si="30"/>
        <v/>
      </c>
      <c r="N94" s="512"/>
      <c r="O94" s="509"/>
      <c r="P94" s="542"/>
      <c r="Q94" s="542"/>
      <c r="R94" s="191"/>
      <c r="S94" s="510"/>
      <c r="T94" s="503">
        <f t="shared" si="24"/>
        <v>0</v>
      </c>
      <c r="U94" s="509"/>
      <c r="V94" s="542"/>
      <c r="W94" s="191"/>
      <c r="X94" s="510"/>
      <c r="Y94" s="503">
        <f t="shared" si="25"/>
        <v>0</v>
      </c>
    </row>
    <row r="95" spans="1:25">
      <c r="A95" s="502" t="str">
        <f t="shared" si="26"/>
        <v/>
      </c>
      <c r="B95" s="509"/>
      <c r="C95" s="503">
        <f t="shared" si="27"/>
        <v>0</v>
      </c>
      <c r="D95" s="399">
        <f t="shared" si="28"/>
        <v>0</v>
      </c>
      <c r="E95" s="399">
        <f t="shared" si="28"/>
        <v>0</v>
      </c>
      <c r="F95" s="399">
        <f t="shared" si="28"/>
        <v>0</v>
      </c>
      <c r="G95" s="399">
        <f t="shared" si="28"/>
        <v>0</v>
      </c>
      <c r="H95" s="399">
        <f>IF($L$100&lt;&gt;0,H$100/$L$100*$L95,0)</f>
        <v>0</v>
      </c>
      <c r="I95" s="399">
        <f t="shared" si="28"/>
        <v>0</v>
      </c>
      <c r="J95" s="399"/>
      <c r="K95" s="503">
        <f t="shared" si="29"/>
        <v>0</v>
      </c>
      <c r="L95" s="399"/>
      <c r="M95" s="399" t="str">
        <f t="shared" si="30"/>
        <v/>
      </c>
      <c r="N95" s="512"/>
      <c r="O95" s="509"/>
      <c r="P95" s="542"/>
      <c r="Q95" s="542"/>
      <c r="R95" s="191"/>
      <c r="S95" s="510"/>
      <c r="T95" s="503">
        <f t="shared" si="24"/>
        <v>0</v>
      </c>
      <c r="U95" s="509"/>
      <c r="V95" s="542"/>
      <c r="W95" s="191"/>
      <c r="X95" s="510"/>
      <c r="Y95" s="503">
        <f t="shared" si="25"/>
        <v>0</v>
      </c>
    </row>
    <row r="96" spans="1:25">
      <c r="A96" s="502" t="str">
        <f t="shared" si="26"/>
        <v/>
      </c>
      <c r="B96" s="509"/>
      <c r="C96" s="503">
        <f t="shared" si="27"/>
        <v>0</v>
      </c>
      <c r="D96" s="399">
        <f t="shared" si="28"/>
        <v>0</v>
      </c>
      <c r="E96" s="399">
        <f t="shared" si="28"/>
        <v>0</v>
      </c>
      <c r="F96" s="399">
        <f t="shared" si="28"/>
        <v>0</v>
      </c>
      <c r="G96" s="399">
        <f t="shared" si="28"/>
        <v>0</v>
      </c>
      <c r="H96" s="399">
        <f t="shared" si="28"/>
        <v>0</v>
      </c>
      <c r="I96" s="399">
        <f t="shared" si="28"/>
        <v>0</v>
      </c>
      <c r="J96" s="399"/>
      <c r="K96" s="503">
        <f t="shared" si="29"/>
        <v>0</v>
      </c>
      <c r="L96" s="399"/>
      <c r="M96" s="399" t="str">
        <f t="shared" si="30"/>
        <v/>
      </c>
      <c r="N96" s="512"/>
      <c r="O96" s="509"/>
      <c r="P96" s="542"/>
      <c r="Q96" s="542"/>
      <c r="R96" s="191"/>
      <c r="S96" s="510"/>
      <c r="T96" s="503">
        <f t="shared" si="24"/>
        <v>0</v>
      </c>
      <c r="U96" s="509"/>
      <c r="V96" s="542"/>
      <c r="W96" s="191"/>
      <c r="X96" s="510"/>
      <c r="Y96" s="503">
        <f t="shared" si="25"/>
        <v>0</v>
      </c>
    </row>
    <row r="97" spans="1:25">
      <c r="A97" s="502" t="str">
        <f t="shared" si="26"/>
        <v/>
      </c>
      <c r="B97" s="509"/>
      <c r="C97" s="503">
        <f t="shared" si="27"/>
        <v>0</v>
      </c>
      <c r="D97" s="399">
        <f t="shared" si="28"/>
        <v>0</v>
      </c>
      <c r="E97" s="399">
        <f t="shared" si="28"/>
        <v>0</v>
      </c>
      <c r="F97" s="399">
        <f t="shared" si="28"/>
        <v>0</v>
      </c>
      <c r="G97" s="399">
        <f t="shared" si="28"/>
        <v>0</v>
      </c>
      <c r="H97" s="399">
        <f t="shared" si="28"/>
        <v>0</v>
      </c>
      <c r="I97" s="399">
        <f t="shared" si="28"/>
        <v>0</v>
      </c>
      <c r="J97" s="399"/>
      <c r="K97" s="503">
        <f t="shared" si="29"/>
        <v>0</v>
      </c>
      <c r="L97" s="399"/>
      <c r="M97" s="399" t="str">
        <f t="shared" si="30"/>
        <v/>
      </c>
      <c r="N97" s="512"/>
      <c r="O97" s="509"/>
      <c r="P97" s="542"/>
      <c r="Q97" s="542"/>
      <c r="R97" s="191"/>
      <c r="S97" s="510"/>
      <c r="T97" s="503">
        <f t="shared" si="24"/>
        <v>0</v>
      </c>
      <c r="U97" s="509"/>
      <c r="V97" s="542"/>
      <c r="W97" s="191"/>
      <c r="X97" s="510"/>
      <c r="Y97" s="503">
        <f t="shared" si="25"/>
        <v>0</v>
      </c>
    </row>
    <row r="98" spans="1:25">
      <c r="A98" s="502" t="str">
        <f t="shared" si="26"/>
        <v/>
      </c>
      <c r="B98" s="509"/>
      <c r="C98" s="503">
        <f t="shared" si="27"/>
        <v>0</v>
      </c>
      <c r="D98" s="399">
        <f t="shared" si="28"/>
        <v>0</v>
      </c>
      <c r="E98" s="399">
        <f t="shared" si="28"/>
        <v>0</v>
      </c>
      <c r="F98" s="399">
        <f t="shared" si="28"/>
        <v>0</v>
      </c>
      <c r="G98" s="399">
        <f t="shared" si="28"/>
        <v>0</v>
      </c>
      <c r="H98" s="399">
        <f t="shared" si="28"/>
        <v>0</v>
      </c>
      <c r="I98" s="399">
        <f t="shared" si="28"/>
        <v>0</v>
      </c>
      <c r="J98" s="399"/>
      <c r="K98" s="503">
        <f t="shared" si="29"/>
        <v>0</v>
      </c>
      <c r="L98" s="399"/>
      <c r="M98" s="399" t="str">
        <f t="shared" si="30"/>
        <v/>
      </c>
      <c r="N98" s="512"/>
      <c r="O98" s="509"/>
      <c r="P98" s="542"/>
      <c r="Q98" s="542"/>
      <c r="R98" s="191"/>
      <c r="S98" s="510"/>
      <c r="T98" s="503">
        <f t="shared" si="24"/>
        <v>0</v>
      </c>
      <c r="U98" s="509"/>
      <c r="V98" s="542"/>
      <c r="W98" s="191"/>
      <c r="X98" s="510"/>
      <c r="Y98" s="503">
        <f t="shared" si="25"/>
        <v>0</v>
      </c>
    </row>
    <row r="99" spans="1:25">
      <c r="A99" s="502"/>
      <c r="B99" s="509"/>
      <c r="C99" s="503"/>
      <c r="D99" s="399"/>
      <c r="E99" s="399"/>
      <c r="F99" s="399"/>
      <c r="G99" s="399"/>
      <c r="H99" s="399"/>
      <c r="I99" s="399"/>
      <c r="J99" s="399"/>
      <c r="K99" s="503"/>
      <c r="L99" s="399"/>
      <c r="M99" s="399"/>
      <c r="N99" s="512"/>
      <c r="O99" s="509"/>
      <c r="P99" s="542"/>
      <c r="Q99" s="542"/>
      <c r="R99" s="191"/>
      <c r="S99" s="510"/>
      <c r="T99" s="503">
        <f t="shared" si="24"/>
        <v>0</v>
      </c>
      <c r="U99" s="509"/>
      <c r="V99" s="542"/>
      <c r="W99" s="191"/>
      <c r="X99" s="510"/>
      <c r="Y99" s="503">
        <f t="shared" si="25"/>
        <v>0</v>
      </c>
    </row>
    <row r="100" spans="1:25" s="513" customFormat="1">
      <c r="A100" s="514"/>
      <c r="B100" s="515" t="s">
        <v>295</v>
      </c>
      <c r="C100" s="516">
        <f>SUM(C78:C79)</f>
        <v>0</v>
      </c>
      <c r="D100" s="517"/>
      <c r="E100" s="517">
        <f>$Y$100</f>
        <v>13944250</v>
      </c>
      <c r="F100" s="517">
        <v>15800000</v>
      </c>
      <c r="G100" s="517"/>
      <c r="H100" s="517">
        <v>18250000</v>
      </c>
      <c r="I100" s="516">
        <v>950000</v>
      </c>
      <c r="J100" s="516"/>
      <c r="K100" s="516"/>
      <c r="L100" s="516">
        <f>ROUND(SUM(L78:L99),0)</f>
        <v>0</v>
      </c>
      <c r="M100" s="516"/>
      <c r="N100" s="512"/>
      <c r="O100" s="537"/>
      <c r="P100" s="538"/>
      <c r="Q100" s="538"/>
      <c r="R100" s="539"/>
      <c r="S100" s="543"/>
      <c r="T100" s="523">
        <f>SUM(T78:T99)</f>
        <v>0</v>
      </c>
      <c r="U100" s="537"/>
      <c r="V100" s="538"/>
      <c r="W100" s="539"/>
      <c r="X100" s="543"/>
      <c r="Y100" s="523">
        <f>SUM(Y78:Y99)</f>
        <v>13944250</v>
      </c>
    </row>
    <row r="101" spans="1:25" s="485" customFormat="1">
      <c r="A101" s="481"/>
      <c r="B101" s="481"/>
      <c r="C101" s="481"/>
      <c r="D101" s="481"/>
      <c r="E101" s="481"/>
      <c r="F101" s="481"/>
      <c r="G101" s="481"/>
      <c r="H101" s="481"/>
      <c r="I101" s="481"/>
      <c r="J101" s="481"/>
      <c r="K101" s="481"/>
      <c r="L101" s="481"/>
      <c r="M101" s="481"/>
      <c r="N101" s="512"/>
      <c r="O101" s="481"/>
      <c r="P101" s="483"/>
      <c r="Q101" s="483"/>
      <c r="R101" s="484"/>
      <c r="S101" s="484"/>
      <c r="T101" s="481"/>
      <c r="U101" s="481"/>
      <c r="V101" s="483"/>
      <c r="W101" s="484"/>
      <c r="X101" s="484"/>
      <c r="Y101" s="481"/>
    </row>
    <row r="102" spans="1:25">
      <c r="N102" s="512"/>
    </row>
    <row r="103" spans="1:25">
      <c r="N103" s="512"/>
    </row>
    <row r="104" spans="1:25">
      <c r="N104" s="512"/>
    </row>
  </sheetData>
  <mergeCells count="3">
    <mergeCell ref="P5:R5"/>
    <mergeCell ref="T5:Y5"/>
    <mergeCell ref="U20:W20"/>
  </mergeCells>
  <dataValidations count="1">
    <dataValidation type="list" allowBlank="1" showInputMessage="1" showErrorMessage="1" sqref="O77 O52 O6 O27 U77 U52 U6 U2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E6" sqref="E6:G6"/>
    </sheetView>
  </sheetViews>
  <sheetFormatPr defaultColWidth="10.28515625" defaultRowHeight="12.75"/>
  <cols>
    <col min="1" max="1" width="40.42578125" style="680" customWidth="1"/>
    <col min="2" max="2" width="15.7109375" style="680" customWidth="1"/>
    <col min="3" max="3" width="16.85546875" style="680" customWidth="1"/>
    <col min="4" max="9" width="15.28515625" style="680" customWidth="1"/>
    <col min="10" max="10" width="10.140625" style="680" customWidth="1"/>
    <col min="11" max="11" width="5.85546875" style="680" customWidth="1"/>
    <col min="12" max="16384" width="10.28515625" style="680"/>
  </cols>
  <sheetData>
    <row r="1" spans="1:11" s="544" customFormat="1" ht="19.5" customHeight="1">
      <c r="A1" s="667" t="str">
        <f>[3]TH!A1</f>
        <v>Đơn vị: CÔNG TY TNHH HẢI SẢN AN LẠC</v>
      </c>
      <c r="B1" s="667"/>
      <c r="D1" s="545"/>
      <c r="E1" s="545"/>
      <c r="F1" s="545"/>
      <c r="G1" s="1093" t="s">
        <v>296</v>
      </c>
      <c r="H1" s="1093"/>
      <c r="I1" s="1093"/>
      <c r="J1" s="913"/>
      <c r="K1" s="546"/>
    </row>
    <row r="2" spans="1:11" s="544" customFormat="1" ht="19.5" customHeight="1">
      <c r="A2" s="773" t="str">
        <f>[3]TH!A2</f>
        <v>Địa chỉ: Lô A14, Đường 4A, KCN Hải Sơn, Đức Hòa, Long An</v>
      </c>
      <c r="B2" s="667"/>
      <c r="D2" s="547"/>
      <c r="E2" s="547"/>
      <c r="F2" s="547"/>
      <c r="G2" s="1094" t="s">
        <v>126</v>
      </c>
      <c r="H2" s="1094"/>
      <c r="I2" s="1094"/>
      <c r="J2" s="913"/>
      <c r="K2" s="479">
        <v>1</v>
      </c>
    </row>
    <row r="3" spans="1:11" s="544" customFormat="1" ht="15">
      <c r="A3" s="668"/>
      <c r="B3" s="669"/>
      <c r="C3" s="547"/>
      <c r="D3" s="547"/>
      <c r="E3" s="547"/>
      <c r="F3" s="547"/>
      <c r="G3" s="1094"/>
      <c r="H3" s="1094"/>
      <c r="I3" s="1094"/>
      <c r="J3" s="913"/>
    </row>
    <row r="4" spans="1:11" s="671" customFormat="1" ht="17.25" customHeight="1">
      <c r="A4" s="1095" t="s">
        <v>297</v>
      </c>
      <c r="B4" s="1095"/>
      <c r="C4" s="1095"/>
      <c r="D4" s="1095"/>
      <c r="E4" s="1095"/>
      <c r="F4" s="1095"/>
      <c r="G4" s="1095"/>
      <c r="H4" s="1095"/>
      <c r="I4" s="1095"/>
      <c r="J4" s="670"/>
    </row>
    <row r="5" spans="1:11" s="672" customFormat="1" ht="17.25" customHeight="1">
      <c r="B5" s="673"/>
      <c r="C5" s="674" t="s">
        <v>418</v>
      </c>
      <c r="D5" s="673" t="str">
        <f>IF($K$2&lt;10,"0"&amp;$K$2&amp;"  năm 2011",$K$2&amp;"  năm 2011")</f>
        <v>01  năm 2011</v>
      </c>
      <c r="E5" s="673"/>
      <c r="F5" s="673"/>
      <c r="G5" s="673"/>
      <c r="H5" s="673"/>
      <c r="I5" s="673"/>
      <c r="J5" s="673"/>
    </row>
    <row r="6" spans="1:11" s="672" customFormat="1" ht="17.25" customHeight="1">
      <c r="B6" s="675"/>
      <c r="C6" s="1096" t="s">
        <v>298</v>
      </c>
      <c r="D6" s="1096"/>
      <c r="E6" s="1097"/>
      <c r="F6" s="1097"/>
      <c r="G6" s="1097"/>
      <c r="H6" s="914"/>
      <c r="I6" s="675"/>
      <c r="J6" s="673"/>
    </row>
    <row r="7" spans="1:11" s="677" customFormat="1" ht="9.75" customHeight="1">
      <c r="A7" s="676"/>
      <c r="B7" s="676"/>
      <c r="C7" s="676"/>
      <c r="D7" s="676"/>
      <c r="E7" s="676"/>
      <c r="F7" s="676"/>
      <c r="G7" s="676"/>
      <c r="H7" s="676"/>
      <c r="I7" s="676"/>
      <c r="J7" s="675"/>
    </row>
    <row r="8" spans="1:11" s="549" customFormat="1" ht="17.25" customHeight="1">
      <c r="A8" s="1098" t="s">
        <v>299</v>
      </c>
      <c r="B8" s="1099" t="s">
        <v>300</v>
      </c>
      <c r="C8" s="1099" t="s">
        <v>301</v>
      </c>
      <c r="D8" s="1099"/>
      <c r="E8" s="1099"/>
      <c r="F8" s="1099"/>
      <c r="G8" s="1099"/>
      <c r="H8" s="1099"/>
      <c r="I8" s="1099"/>
      <c r="J8" s="548"/>
    </row>
    <row r="9" spans="1:11" s="552" customFormat="1" ht="35.25" customHeight="1">
      <c r="A9" s="1098"/>
      <c r="B9" s="1099"/>
      <c r="C9" s="550" t="s">
        <v>1564</v>
      </c>
      <c r="D9" s="550" t="s">
        <v>302</v>
      </c>
      <c r="E9" s="550" t="s">
        <v>1565</v>
      </c>
      <c r="F9" s="550" t="s">
        <v>1566</v>
      </c>
      <c r="G9" s="550" t="s">
        <v>303</v>
      </c>
      <c r="H9" s="550" t="s">
        <v>304</v>
      </c>
      <c r="I9" s="550" t="s">
        <v>1567</v>
      </c>
      <c r="J9" s="551"/>
    </row>
    <row r="10" spans="1:11" s="555" customFormat="1" ht="15">
      <c r="A10" s="553" t="s">
        <v>2</v>
      </c>
      <c r="B10" s="554">
        <v>1</v>
      </c>
      <c r="C10" s="554">
        <v>2</v>
      </c>
      <c r="D10" s="554">
        <v>3</v>
      </c>
      <c r="E10" s="554">
        <v>4</v>
      </c>
      <c r="F10" s="554">
        <v>5</v>
      </c>
      <c r="G10" s="554">
        <v>6</v>
      </c>
      <c r="H10" s="554">
        <v>7</v>
      </c>
      <c r="I10" s="554">
        <v>8</v>
      </c>
      <c r="J10" s="913"/>
    </row>
    <row r="11" spans="1:11" s="672" customFormat="1" ht="24.75" customHeight="1">
      <c r="A11" s="678" t="s">
        <v>305</v>
      </c>
      <c r="B11" s="679">
        <f>ROUND(SUM(C11:I11),0)</f>
        <v>0</v>
      </c>
      <c r="C11" s="679">
        <v>0</v>
      </c>
      <c r="D11" s="679">
        <v>0</v>
      </c>
      <c r="E11" s="679">
        <v>0</v>
      </c>
      <c r="F11" s="679">
        <v>0</v>
      </c>
      <c r="G11" s="679">
        <v>0</v>
      </c>
      <c r="H11" s="679">
        <v>0</v>
      </c>
      <c r="I11" s="679">
        <v>0</v>
      </c>
      <c r="J11" s="673"/>
    </row>
    <row r="12" spans="1:11" s="672" customFormat="1" ht="24.75" customHeight="1">
      <c r="A12" s="678" t="s">
        <v>306</v>
      </c>
      <c r="B12" s="679">
        <f ca="1">ROUND(SUM(C12:I12),0)</f>
        <v>0</v>
      </c>
      <c r="C12" s="679">
        <f ca="1">IF(ISNA(VLOOKUP($E6,INDIRECT("DSSP"&amp;$K$2),5,0)),0,VLOOKUP($E6,INDIRECT("DSSP"&amp;$K$2),5,0))</f>
        <v>0</v>
      </c>
      <c r="D12" s="679">
        <f ca="1">IF(ISNA(VLOOKUP($E6,INDIRECT("DSSP"&amp;$K$2),6,0)),0,VLOOKUP($E6,INDIRECT("DSSP"&amp;$K$2),6,0))</f>
        <v>0</v>
      </c>
      <c r="E12" s="679">
        <f ca="1">IF(ISNA(VLOOKUP($E6,INDIRECT("DSSP"&amp;$K$2),7,0)),0,VLOOKUP($E6,INDIRECT("DSSP"&amp;$K$2),7,0))</f>
        <v>0</v>
      </c>
      <c r="F12" s="679">
        <f ca="1">IF(ISNA(VLOOKUP($E6,INDIRECT("DSSP"&amp;$K$2),8,0)),0,VLOOKUP($E6,INDIRECT("DSSP"&amp;$K$2),8,0))</f>
        <v>0</v>
      </c>
      <c r="G12" s="679">
        <f ca="1">IF(ISNA(VLOOKUP($E6,INDIRECT("DSSP"&amp;$K$2),9,0)),0,VLOOKUP($E6,INDIRECT("DSSP"&amp;$K$2),9,0))</f>
        <v>0</v>
      </c>
      <c r="H12" s="679">
        <f ca="1">IF(ISNA(VLOOKUP($E6,INDIRECT("DSSP"&amp;$K$2),10,0)),0,VLOOKUP($E6,INDIRECT("DSSP"&amp;$K$2),10,0))</f>
        <v>0</v>
      </c>
      <c r="I12" s="679">
        <f ca="1">IF(ISNA(VLOOKUP($E6,INDIRECT("DSSP"&amp;$K$2),11,0)),0,VLOOKUP($E6,INDIRECT("DSSP"&amp;$K$2),11,0))</f>
        <v>0</v>
      </c>
      <c r="J12" s="673"/>
    </row>
    <row r="13" spans="1:11" s="672" customFormat="1" ht="24.75" customHeight="1">
      <c r="A13" s="678" t="s">
        <v>307</v>
      </c>
      <c r="B13" s="679">
        <f ca="1">ROUND(IF(ISNA(VLOOKUP($E6,INDIRECT("DSSP"&amp;$K$2),13,0)),0,VLOOKUP($E6,INDIRECT("DSSP"&amp;$K$2),13,0)),0)</f>
        <v>0</v>
      </c>
      <c r="C13" s="679">
        <f t="shared" ref="C13:I13" ca="1" si="0">C12</f>
        <v>0</v>
      </c>
      <c r="D13" s="679">
        <f t="shared" ca="1" si="0"/>
        <v>0</v>
      </c>
      <c r="E13" s="679">
        <f t="shared" ca="1" si="0"/>
        <v>0</v>
      </c>
      <c r="F13" s="679"/>
      <c r="G13" s="679">
        <f t="shared" ca="1" si="0"/>
        <v>0</v>
      </c>
      <c r="H13" s="679"/>
      <c r="I13" s="679">
        <f t="shared" ca="1" si="0"/>
        <v>0</v>
      </c>
      <c r="J13" s="673"/>
    </row>
    <row r="14" spans="1:11" s="672" customFormat="1" ht="24.75" customHeight="1">
      <c r="A14" s="678" t="s">
        <v>308</v>
      </c>
      <c r="B14" s="679">
        <f ca="1">B12-B13</f>
        <v>0</v>
      </c>
      <c r="C14" s="679">
        <f t="shared" ref="C14:I14" ca="1" si="1">C12-C13</f>
        <v>0</v>
      </c>
      <c r="D14" s="679">
        <f t="shared" ca="1" si="1"/>
        <v>0</v>
      </c>
      <c r="E14" s="679">
        <f t="shared" ca="1" si="1"/>
        <v>0</v>
      </c>
      <c r="F14" s="679"/>
      <c r="G14" s="679">
        <f t="shared" ca="1" si="1"/>
        <v>0</v>
      </c>
      <c r="H14" s="679"/>
      <c r="I14" s="679">
        <f t="shared" ca="1" si="1"/>
        <v>0</v>
      </c>
      <c r="J14" s="673"/>
    </row>
    <row r="15" spans="1:11" s="672" customFormat="1" ht="15">
      <c r="B15" s="673"/>
      <c r="C15" s="673"/>
      <c r="D15" s="673"/>
      <c r="E15" s="673"/>
      <c r="F15" s="673"/>
      <c r="G15" s="673"/>
      <c r="H15" s="673"/>
      <c r="I15" s="673"/>
      <c r="J15" s="673"/>
    </row>
    <row r="16" spans="1:11" s="672" customFormat="1" ht="15">
      <c r="B16" s="673"/>
      <c r="C16" s="673"/>
      <c r="D16" s="673"/>
      <c r="E16" s="1092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92"/>
      <c r="G16" s="1092"/>
      <c r="H16" s="1092"/>
      <c r="I16" s="1092"/>
      <c r="J16" s="673"/>
    </row>
    <row r="17" spans="2:10" s="672" customFormat="1" ht="15">
      <c r="B17" s="555" t="s">
        <v>309</v>
      </c>
      <c r="C17" s="673"/>
      <c r="D17" s="673"/>
      <c r="E17" s="1092" t="s">
        <v>12</v>
      </c>
      <c r="F17" s="1092"/>
      <c r="G17" s="1092"/>
      <c r="H17" s="1092"/>
      <c r="I17" s="1092"/>
      <c r="J17" s="673"/>
    </row>
    <row r="19" spans="2:10" ht="15">
      <c r="E19" s="681"/>
      <c r="F19" s="681"/>
    </row>
    <row r="26" spans="2:10">
      <c r="B26" s="915" t="s">
        <v>167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E6:F6">
      <formula1>INDIRECT("DSGT"&amp;$K$2)</formula1>
    </dataValidation>
    <dataValidation type="list" allowBlank="1" showInputMessage="1" showErrorMessage="1" sqref="K2">
      <formula1>"1,2,3,4"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K18" sqref="K18"/>
    </sheetView>
  </sheetViews>
  <sheetFormatPr defaultRowHeight="12.75"/>
  <cols>
    <col min="1" max="1" width="4.140625" style="590" customWidth="1"/>
    <col min="2" max="2" width="9.140625" style="590" customWidth="1"/>
    <col min="3" max="3" width="9" style="591" customWidth="1"/>
    <col min="4" max="4" width="28.140625" style="590" customWidth="1"/>
    <col min="5" max="5" width="9.140625" style="590" customWidth="1"/>
    <col min="6" max="6" width="9.28515625" style="591" customWidth="1"/>
    <col min="7" max="7" width="9" style="590" customWidth="1"/>
    <col min="8" max="8" width="14.5703125" style="590" customWidth="1"/>
    <col min="9" max="9" width="6" style="590" customWidth="1"/>
    <col min="10" max="10" width="14.140625" style="590" customWidth="1"/>
    <col min="11" max="11" width="14.85546875" style="592" customWidth="1"/>
    <col min="12" max="12" width="14.42578125" style="590" customWidth="1"/>
    <col min="13" max="13" width="5.85546875" style="590" customWidth="1"/>
    <col min="14" max="14" width="7.42578125" style="590" customWidth="1"/>
    <col min="15" max="15" width="11.7109375" style="590" customWidth="1"/>
    <col min="16" max="16" width="4.5703125" style="656" customWidth="1"/>
    <col min="17" max="17" width="12.85546875" style="590" bestFit="1" customWidth="1"/>
    <col min="18" max="16384" width="9.140625" style="590"/>
  </cols>
  <sheetData>
    <row r="1" spans="1:17" ht="15" customHeight="1">
      <c r="A1" s="774" t="str">
        <f>TH!A1</f>
        <v>Đơn vị: CÔNG TY TNHH HẢI SẢN AN LẠC</v>
      </c>
      <c r="M1" s="593"/>
      <c r="N1" s="594" t="s">
        <v>342</v>
      </c>
      <c r="O1" s="593"/>
    </row>
    <row r="2" spans="1:17" ht="15" customHeight="1">
      <c r="A2" s="589" t="str">
        <f>TH!A2</f>
        <v>Địa chỉ: Lô A14, Đường 4A, KCN Hải Sơn, Đức Hòa, Long An</v>
      </c>
      <c r="L2" s="592"/>
      <c r="M2" s="592"/>
      <c r="N2" s="595" t="s">
        <v>227</v>
      </c>
      <c r="O2" s="592"/>
    </row>
    <row r="3" spans="1:17" ht="15" customHeight="1">
      <c r="L3" s="592"/>
      <c r="M3" s="592"/>
      <c r="N3" s="595" t="s">
        <v>172</v>
      </c>
      <c r="O3" s="592"/>
    </row>
    <row r="5" spans="1:17" s="596" customFormat="1" ht="24" customHeight="1">
      <c r="A5" s="1106" t="s">
        <v>343</v>
      </c>
      <c r="B5" s="1106"/>
      <c r="C5" s="1106"/>
      <c r="D5" s="1106"/>
      <c r="E5" s="1106"/>
      <c r="F5" s="1106"/>
      <c r="G5" s="1106"/>
      <c r="H5" s="1106"/>
      <c r="I5" s="1106"/>
      <c r="J5" s="1106"/>
      <c r="K5" s="1106"/>
      <c r="L5" s="1106"/>
      <c r="M5" s="1106"/>
      <c r="N5" s="1106"/>
      <c r="O5" s="1106"/>
      <c r="P5" s="657"/>
    </row>
    <row r="6" spans="1:17" s="596" customFormat="1" ht="21" customHeight="1">
      <c r="A6" s="1107" t="s">
        <v>1130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  <c r="M6" s="1107"/>
      <c r="N6" s="1107"/>
      <c r="O6" s="1107"/>
      <c r="P6" s="657"/>
    </row>
    <row r="7" spans="1:17" s="596" customFormat="1" ht="21" customHeight="1">
      <c r="A7" s="1108" t="s">
        <v>385</v>
      </c>
      <c r="B7" s="1108"/>
      <c r="C7" s="1108"/>
      <c r="D7" s="1108"/>
      <c r="E7" s="1108"/>
      <c r="F7" s="1108"/>
      <c r="G7" s="1108"/>
      <c r="H7" s="1108"/>
      <c r="I7" s="1108"/>
      <c r="J7" s="1108"/>
      <c r="K7" s="1108"/>
      <c r="L7" s="1108"/>
      <c r="M7" s="1108"/>
      <c r="N7" s="1108"/>
      <c r="O7" s="1108"/>
      <c r="P7" s="657"/>
    </row>
    <row r="8" spans="1:17">
      <c r="D8" s="591"/>
    </row>
    <row r="9" spans="1:17" s="597" customFormat="1" ht="24" customHeight="1">
      <c r="A9" s="1100" t="s">
        <v>275</v>
      </c>
      <c r="B9" s="1102" t="s">
        <v>344</v>
      </c>
      <c r="C9" s="1110"/>
      <c r="D9" s="1110"/>
      <c r="E9" s="1110"/>
      <c r="F9" s="1110"/>
      <c r="G9" s="1110"/>
      <c r="H9" s="1103"/>
      <c r="I9" s="1102" t="s">
        <v>345</v>
      </c>
      <c r="J9" s="1110"/>
      <c r="K9" s="1110"/>
      <c r="L9" s="1103"/>
      <c r="M9" s="1111" t="s">
        <v>346</v>
      </c>
      <c r="N9" s="1111"/>
      <c r="O9" s="1111"/>
      <c r="P9" s="658"/>
    </row>
    <row r="10" spans="1:17" s="597" customFormat="1" ht="24" customHeight="1">
      <c r="A10" s="1109"/>
      <c r="B10" s="1102" t="s">
        <v>347</v>
      </c>
      <c r="C10" s="1103"/>
      <c r="D10" s="1100" t="s">
        <v>348</v>
      </c>
      <c r="E10" s="1100" t="s">
        <v>349</v>
      </c>
      <c r="F10" s="1100" t="s">
        <v>350</v>
      </c>
      <c r="G10" s="1100" t="s">
        <v>351</v>
      </c>
      <c r="H10" s="1100" t="s">
        <v>352</v>
      </c>
      <c r="I10" s="1102" t="s">
        <v>353</v>
      </c>
      <c r="J10" s="1103"/>
      <c r="K10" s="1104" t="s">
        <v>354</v>
      </c>
      <c r="L10" s="1100" t="s">
        <v>355</v>
      </c>
      <c r="M10" s="1111" t="s">
        <v>347</v>
      </c>
      <c r="N10" s="1111"/>
      <c r="O10" s="1111" t="s">
        <v>356</v>
      </c>
      <c r="P10" s="658"/>
    </row>
    <row r="11" spans="1:17" s="597" customFormat="1" ht="55.5" customHeight="1">
      <c r="A11" s="1101"/>
      <c r="B11" s="598" t="s">
        <v>357</v>
      </c>
      <c r="C11" s="598" t="s">
        <v>276</v>
      </c>
      <c r="D11" s="1101"/>
      <c r="E11" s="1101"/>
      <c r="F11" s="1101"/>
      <c r="G11" s="1101"/>
      <c r="H11" s="1101"/>
      <c r="I11" s="598" t="s">
        <v>358</v>
      </c>
      <c r="J11" s="598" t="s">
        <v>359</v>
      </c>
      <c r="K11" s="1105"/>
      <c r="L11" s="1101"/>
      <c r="M11" s="598" t="s">
        <v>15</v>
      </c>
      <c r="N11" s="598" t="s">
        <v>276</v>
      </c>
      <c r="O11" s="1111"/>
      <c r="P11" s="658"/>
    </row>
    <row r="12" spans="1:17" s="601" customFormat="1" ht="13.5">
      <c r="A12" s="599" t="s">
        <v>2</v>
      </c>
      <c r="B12" s="599" t="s">
        <v>3</v>
      </c>
      <c r="C12" s="599" t="s">
        <v>4</v>
      </c>
      <c r="D12" s="599" t="s">
        <v>5</v>
      </c>
      <c r="E12" s="599" t="s">
        <v>6</v>
      </c>
      <c r="F12" s="599" t="s">
        <v>138</v>
      </c>
      <c r="G12" s="599" t="s">
        <v>360</v>
      </c>
      <c r="H12" s="599">
        <v>1</v>
      </c>
      <c r="I12" s="599">
        <v>2</v>
      </c>
      <c r="J12" s="599">
        <v>3</v>
      </c>
      <c r="K12" s="600"/>
      <c r="L12" s="599">
        <v>4</v>
      </c>
      <c r="M12" s="599" t="s">
        <v>361</v>
      </c>
      <c r="N12" s="599" t="s">
        <v>362</v>
      </c>
      <c r="O12" s="599" t="s">
        <v>363</v>
      </c>
      <c r="P12" s="659"/>
    </row>
    <row r="13" spans="1:17" s="601" customFormat="1" ht="21.75" customHeight="1">
      <c r="A13" s="621" t="s">
        <v>361</v>
      </c>
      <c r="B13" s="623" t="s">
        <v>384</v>
      </c>
      <c r="C13" s="621"/>
      <c r="D13" s="621"/>
      <c r="E13" s="621"/>
      <c r="F13" s="621"/>
      <c r="G13" s="660"/>
      <c r="H13" s="628"/>
      <c r="I13" s="628"/>
      <c r="J13" s="628"/>
      <c r="K13" s="628"/>
      <c r="L13" s="8"/>
      <c r="M13" s="621"/>
      <c r="N13" s="621"/>
      <c r="O13" s="190"/>
      <c r="P13" s="659" t="str">
        <f>IF(D13='THE-TS'!$D$11,"x","")</f>
        <v/>
      </c>
      <c r="Q13" s="653"/>
    </row>
    <row r="14" spans="1:17" ht="21.75" customHeight="1">
      <c r="A14" s="622">
        <v>1</v>
      </c>
      <c r="B14" s="632" t="s">
        <v>502</v>
      </c>
      <c r="C14" s="602">
        <v>40682</v>
      </c>
      <c r="D14" s="225" t="s">
        <v>478</v>
      </c>
      <c r="E14" s="509" t="s">
        <v>364</v>
      </c>
      <c r="F14" s="631" t="s">
        <v>1570</v>
      </c>
      <c r="G14" s="660" t="s">
        <v>544</v>
      </c>
      <c r="H14" s="278">
        <v>18000000</v>
      </c>
      <c r="I14" s="278">
        <v>5</v>
      </c>
      <c r="J14" s="8">
        <f>H14/I14</f>
        <v>3600000</v>
      </c>
      <c r="K14" s="8">
        <v>2100000</v>
      </c>
      <c r="L14" s="8">
        <f t="shared" ref="L14:L16" si="0">K14+J14</f>
        <v>5700000</v>
      </c>
      <c r="M14" s="618"/>
      <c r="N14" s="509"/>
      <c r="O14" s="190"/>
      <c r="P14" s="659" t="str">
        <f>IF(D14='THE-TS'!$D$11,"x","")</f>
        <v>x</v>
      </c>
      <c r="Q14" s="653"/>
    </row>
    <row r="15" spans="1:17" ht="21.75" customHeight="1">
      <c r="A15" s="622">
        <v>2</v>
      </c>
      <c r="B15" s="631" t="s">
        <v>505</v>
      </c>
      <c r="C15" s="602">
        <v>40686</v>
      </c>
      <c r="D15" s="225" t="s">
        <v>479</v>
      </c>
      <c r="E15" s="509" t="s">
        <v>364</v>
      </c>
      <c r="F15" s="631" t="s">
        <v>1570</v>
      </c>
      <c r="G15" s="660" t="s">
        <v>545</v>
      </c>
      <c r="H15" s="278">
        <v>27000000</v>
      </c>
      <c r="I15" s="278">
        <v>5</v>
      </c>
      <c r="J15" s="8">
        <f t="shared" ref="J15:J16" si="1">H15/I15</f>
        <v>5400000</v>
      </c>
      <c r="K15" s="8">
        <v>3150000</v>
      </c>
      <c r="L15" s="8">
        <f t="shared" si="0"/>
        <v>8550000</v>
      </c>
      <c r="M15" s="618"/>
      <c r="N15" s="509"/>
      <c r="O15" s="190"/>
      <c r="P15" s="659" t="str">
        <f>IF(D15='THE-TS'!$D$11,"x","")</f>
        <v/>
      </c>
      <c r="Q15" s="653"/>
    </row>
    <row r="16" spans="1:17" ht="21.75" customHeight="1">
      <c r="A16" s="622">
        <v>3</v>
      </c>
      <c r="B16" s="631" t="s">
        <v>408</v>
      </c>
      <c r="C16" s="602">
        <v>40710</v>
      </c>
      <c r="D16" s="225" t="s">
        <v>480</v>
      </c>
      <c r="E16" s="509" t="s">
        <v>364</v>
      </c>
      <c r="F16" s="631" t="s">
        <v>1571</v>
      </c>
      <c r="G16" s="660" t="s">
        <v>546</v>
      </c>
      <c r="H16" s="278">
        <v>320000000</v>
      </c>
      <c r="I16" s="278">
        <v>5</v>
      </c>
      <c r="J16" s="8">
        <f t="shared" si="1"/>
        <v>64000000</v>
      </c>
      <c r="K16" s="8">
        <v>32000000</v>
      </c>
      <c r="L16" s="8">
        <f t="shared" si="0"/>
        <v>96000000</v>
      </c>
      <c r="M16" s="618"/>
      <c r="N16" s="190"/>
      <c r="O16" s="190"/>
      <c r="P16" s="659" t="str">
        <f>IF(D16='THE-TS'!$D$11,"x","")</f>
        <v/>
      </c>
      <c r="Q16" s="653"/>
    </row>
    <row r="17" spans="1:16" ht="21.75" customHeight="1">
      <c r="A17" s="603"/>
      <c r="B17" s="624"/>
      <c r="C17" s="625"/>
      <c r="D17" s="626"/>
      <c r="E17" s="604"/>
      <c r="F17" s="625"/>
      <c r="G17" s="624"/>
      <c r="H17" s="629"/>
      <c r="I17" s="629"/>
      <c r="J17" s="334"/>
      <c r="K17" s="334"/>
      <c r="L17" s="334"/>
      <c r="M17" s="604"/>
      <c r="N17" s="604"/>
      <c r="O17" s="604"/>
      <c r="P17" s="659" t="str">
        <f>IF(D17='THE-TS'!$D$11,"x","")</f>
        <v/>
      </c>
    </row>
    <row r="18" spans="1:16" s="607" customFormat="1" ht="21.75" customHeight="1">
      <c r="A18" s="605"/>
      <c r="B18" s="606"/>
      <c r="C18" s="605"/>
      <c r="D18" s="605" t="s">
        <v>365</v>
      </c>
      <c r="E18" s="605" t="s">
        <v>19</v>
      </c>
      <c r="F18" s="605" t="s">
        <v>19</v>
      </c>
      <c r="G18" s="605" t="s">
        <v>19</v>
      </c>
      <c r="H18" s="630">
        <f>SUM(H13:H17)</f>
        <v>365000000</v>
      </c>
      <c r="I18" s="630"/>
      <c r="J18" s="630">
        <f>SUM(J13:J17)</f>
        <v>73000000</v>
      </c>
      <c r="K18" s="630">
        <f>SUM(K13:K17)</f>
        <v>37250000</v>
      </c>
      <c r="L18" s="630">
        <f>SUM(L13:L17)</f>
        <v>110250000</v>
      </c>
      <c r="M18" s="665" t="s">
        <v>19</v>
      </c>
      <c r="N18" s="665" t="s">
        <v>19</v>
      </c>
      <c r="O18" s="665" t="s">
        <v>19</v>
      </c>
      <c r="P18" s="659" t="str">
        <f>IF(D18='THE-TS'!$D$11,"x","")</f>
        <v/>
      </c>
    </row>
    <row r="19" spans="1:16" ht="6.75" customHeight="1">
      <c r="A19" s="526"/>
      <c r="B19" s="526"/>
      <c r="C19" s="608"/>
      <c r="D19" s="526"/>
      <c r="E19" s="608"/>
      <c r="F19" s="608"/>
      <c r="G19" s="608"/>
      <c r="H19" s="526"/>
      <c r="I19" s="526"/>
      <c r="J19" s="526"/>
      <c r="K19" s="609"/>
      <c r="L19" s="526"/>
      <c r="M19" s="526"/>
      <c r="N19" s="526"/>
      <c r="O19" s="526"/>
      <c r="P19" s="659" t="str">
        <f>IF(D19='THE-TS'!$D$11,"x","")</f>
        <v/>
      </c>
    </row>
    <row r="20" spans="1:16" ht="13.5" customHeight="1">
      <c r="A20" s="526"/>
      <c r="B20" s="526"/>
      <c r="C20" s="608"/>
      <c r="D20" s="526" t="s">
        <v>366</v>
      </c>
      <c r="E20" s="526"/>
      <c r="F20" s="608"/>
      <c r="G20" s="526"/>
      <c r="H20" s="592"/>
      <c r="I20" s="592"/>
      <c r="J20" s="666"/>
      <c r="L20" s="592"/>
      <c r="M20" s="526"/>
      <c r="N20" s="526"/>
      <c r="O20" s="526"/>
      <c r="P20" s="659" t="str">
        <f>IF(D20='THE-TS'!$D$11,"x","")</f>
        <v/>
      </c>
    </row>
    <row r="21" spans="1:16" ht="13.5" customHeight="1">
      <c r="A21" s="526"/>
      <c r="B21" s="526"/>
      <c r="C21" s="608"/>
      <c r="D21" s="526" t="s">
        <v>1569</v>
      </c>
      <c r="E21" s="526"/>
      <c r="F21" s="608"/>
      <c r="G21" s="526"/>
      <c r="H21" s="619"/>
      <c r="I21" s="526"/>
      <c r="J21" s="627"/>
      <c r="K21" s="609"/>
      <c r="L21" s="526"/>
      <c r="M21" s="526"/>
      <c r="N21" s="526"/>
      <c r="O21" s="526"/>
      <c r="P21" s="659" t="str">
        <f>IF(D21='THE-TS'!$D$11,"x","")</f>
        <v/>
      </c>
    </row>
    <row r="22" spans="1:16" ht="13.5" customHeight="1">
      <c r="J22" s="627"/>
      <c r="K22" s="610"/>
      <c r="L22" s="595" t="s">
        <v>1568</v>
      </c>
      <c r="P22" s="659" t="str">
        <f>IF(D22='THE-TS'!$D$11,"x","")</f>
        <v/>
      </c>
    </row>
    <row r="23" spans="1:16" ht="13.5" customHeight="1">
      <c r="B23" s="591"/>
      <c r="D23" s="591" t="s">
        <v>11</v>
      </c>
      <c r="F23" s="591" t="s">
        <v>367</v>
      </c>
      <c r="I23" s="611"/>
      <c r="J23" s="627"/>
      <c r="K23" s="608"/>
      <c r="L23" s="608" t="s">
        <v>113</v>
      </c>
      <c r="P23" s="659" t="str">
        <f>IF(D23='THE-TS'!$D$11,"x","")</f>
        <v/>
      </c>
    </row>
    <row r="24" spans="1:16" ht="13.5" customHeight="1">
      <c r="B24" s="591"/>
      <c r="D24" s="591"/>
      <c r="J24" s="627"/>
      <c r="P24" s="659" t="str">
        <f>IF(D24='THE-TS'!$D$11,"x","")</f>
        <v/>
      </c>
    </row>
    <row r="25" spans="1:16" ht="13.5" customHeight="1">
      <c r="H25" s="612"/>
      <c r="J25" s="612"/>
      <c r="L25" s="612"/>
      <c r="P25" s="659" t="str">
        <f>IF(D25='THE-TS'!$D$11,"x","")</f>
        <v/>
      </c>
    </row>
    <row r="26" spans="1:16" ht="13.5" customHeight="1">
      <c r="H26" s="613"/>
      <c r="P26" s="659" t="str">
        <f>IF(D26='THE-TS'!$D$11,"x","")</f>
        <v/>
      </c>
    </row>
    <row r="27" spans="1:16" ht="13.5" customHeight="1">
      <c r="H27" s="613"/>
      <c r="J27" s="612"/>
      <c r="P27" s="659" t="str">
        <f>IF(D27='THE-TS'!$D$11,"x","")</f>
        <v/>
      </c>
    </row>
    <row r="28" spans="1:16" ht="13.5" customHeight="1">
      <c r="H28" s="613"/>
      <c r="P28" s="659" t="str">
        <f>IF(D28='THE-TS'!$D$11,"x","")</f>
        <v/>
      </c>
    </row>
    <row r="29" spans="1:16" ht="13.5" customHeight="1">
      <c r="H29" s="613"/>
      <c r="P29" s="659" t="str">
        <f>IF(D29='THE-TS'!$D$11,"x","")</f>
        <v/>
      </c>
    </row>
    <row r="30" spans="1:16" s="614" customFormat="1" ht="13.5" customHeight="1">
      <c r="C30" s="615"/>
      <c r="D30" s="615" t="s">
        <v>167</v>
      </c>
      <c r="F30" s="615"/>
      <c r="H30" s="616"/>
      <c r="K30" s="617"/>
      <c r="L30" s="614" t="s">
        <v>107</v>
      </c>
      <c r="P30" s="659" t="str">
        <f>IF(D30='THE-TS'!$D$11,"x","")</f>
        <v/>
      </c>
    </row>
    <row r="31" spans="1:16" ht="13.5">
      <c r="P31" s="659" t="str">
        <f>IF(D31='THE-TS'!$D$11,"x","")</f>
        <v/>
      </c>
    </row>
    <row r="32" spans="1:16" ht="13.5" customHeight="1">
      <c r="H32" s="613"/>
      <c r="P32" s="659" t="str">
        <f>IF(D32='THE-TS'!$D$11,"x","")</f>
        <v/>
      </c>
    </row>
  </sheetData>
  <mergeCells count="18">
    <mergeCell ref="F10:F11"/>
    <mergeCell ref="G10:G11"/>
    <mergeCell ref="H10:H11"/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0"/>
  <sheetViews>
    <sheetView topLeftCell="A5" workbookViewId="0">
      <selection activeCell="K14" sqref="K14"/>
    </sheetView>
  </sheetViews>
  <sheetFormatPr defaultRowHeight="12.75"/>
  <cols>
    <col min="1" max="1" width="5" style="634" customWidth="1"/>
    <col min="2" max="2" width="10.140625" style="634" customWidth="1"/>
    <col min="3" max="3" width="11.5703125" style="634" customWidth="1"/>
    <col min="4" max="4" width="28.7109375" style="634" customWidth="1"/>
    <col min="5" max="5" width="13.28515625" style="634" customWidth="1"/>
    <col min="6" max="6" width="9.140625" style="634"/>
    <col min="7" max="7" width="14" style="634" customWidth="1"/>
    <col min="8" max="8" width="14.7109375" style="634" customWidth="1"/>
    <col min="9" max="10" width="9.140625" style="634"/>
    <col min="11" max="11" width="13.85546875" style="634" customWidth="1"/>
    <col min="12" max="16384" width="9.140625" style="634"/>
  </cols>
  <sheetData>
    <row r="1" spans="1:11" hidden="1"/>
    <row r="2" spans="1:11">
      <c r="A2" s="775" t="str">
        <f>TH!A1</f>
        <v>Đơn vị: CÔNG TY TNHH HẢI SẢN AN LẠC</v>
      </c>
      <c r="B2" s="633"/>
      <c r="C2" s="633"/>
      <c r="D2" s="633"/>
      <c r="E2" s="594"/>
      <c r="F2" s="594"/>
      <c r="G2" s="594" t="s">
        <v>368</v>
      </c>
      <c r="H2" s="594"/>
    </row>
    <row r="3" spans="1:11">
      <c r="A3" s="649" t="str">
        <f>TH!A2</f>
        <v>Địa chỉ: Lô A14, Đường 4A, KCN Hải Sơn, Đức Hòa, Long An</v>
      </c>
      <c r="B3" s="633"/>
      <c r="C3" s="633"/>
      <c r="D3" s="633"/>
      <c r="E3" s="595"/>
      <c r="F3" s="595"/>
      <c r="G3" s="595" t="s">
        <v>227</v>
      </c>
      <c r="H3" s="595"/>
    </row>
    <row r="4" spans="1:11">
      <c r="A4" s="591"/>
      <c r="B4" s="591"/>
      <c r="C4" s="595"/>
      <c r="D4" s="595"/>
      <c r="E4" s="595"/>
      <c r="F4" s="595"/>
      <c r="G4" s="595" t="s">
        <v>172</v>
      </c>
      <c r="H4" s="595"/>
    </row>
    <row r="5" spans="1:11">
      <c r="A5" s="591"/>
      <c r="B5" s="591"/>
      <c r="C5" s="595"/>
      <c r="D5" s="595"/>
      <c r="E5" s="595"/>
      <c r="F5" s="595"/>
      <c r="G5" s="595"/>
      <c r="H5" s="595"/>
    </row>
    <row r="6" spans="1:11" ht="23.25" customHeight="1" thickBot="1">
      <c r="A6" s="1126" t="s">
        <v>369</v>
      </c>
      <c r="B6" s="1126"/>
      <c r="C6" s="1126"/>
      <c r="D6" s="1126"/>
      <c r="E6" s="1126"/>
      <c r="F6" s="1126"/>
      <c r="G6" s="1126"/>
      <c r="H6" s="1126"/>
    </row>
    <row r="7" spans="1:11" ht="17.25" customHeight="1" thickBot="1">
      <c r="A7" s="1112" t="str">
        <f ca="1" xml:space="preserve"> IF(ROWS($1:1)&gt;COUNT(Dong3),"","Số: "&amp;OFFSET('SO-TS'!$G$1,SMALL(Dong3,ROWS($1:1)),))</f>
        <v>Số: SX01/11</v>
      </c>
      <c r="B7" s="1112"/>
      <c r="C7" s="1112"/>
      <c r="D7" s="1112"/>
      <c r="E7" s="1112"/>
      <c r="F7" s="1112"/>
      <c r="G7" s="1112"/>
      <c r="H7" s="1112"/>
      <c r="J7" s="650" t="s">
        <v>386</v>
      </c>
      <c r="K7" s="651" t="s">
        <v>392</v>
      </c>
    </row>
    <row r="8" spans="1:11" ht="17.25" customHeight="1">
      <c r="A8" s="112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27"/>
      <c r="C8" s="1127"/>
      <c r="D8" s="1127"/>
      <c r="E8" s="1127"/>
      <c r="F8" s="1127"/>
      <c r="G8" s="1127"/>
      <c r="H8" s="1127"/>
    </row>
    <row r="9" spans="1:11" ht="12" customHeight="1">
      <c r="A9" s="591"/>
      <c r="B9" s="591"/>
      <c r="C9" s="591"/>
      <c r="D9" s="591"/>
      <c r="E9" s="591"/>
      <c r="F9" s="591"/>
      <c r="G9" s="595"/>
      <c r="H9" s="595"/>
    </row>
    <row r="10" spans="1:11" ht="15" customHeight="1">
      <c r="A10" s="590" t="str">
        <f ca="1">"Căn cứ vào biên bản giao nhận TSCĐ "&amp;"  "&amp;A7&amp;"  "&amp;A8</f>
        <v>Căn cứ vào biên bản giao nhận TSCĐ   Số: SX01/11  Ngày   19   tháng   5  năm   2011</v>
      </c>
      <c r="B10" s="590"/>
      <c r="C10" s="590"/>
      <c r="D10" s="590"/>
      <c r="E10" s="590"/>
      <c r="F10" s="590"/>
      <c r="G10" s="590"/>
      <c r="H10" s="590"/>
    </row>
    <row r="11" spans="1:11" ht="15" customHeight="1">
      <c r="A11" s="590" t="s">
        <v>387</v>
      </c>
      <c r="B11" s="590"/>
      <c r="C11" s="590"/>
      <c r="D11" s="590" t="s">
        <v>478</v>
      </c>
      <c r="E11" s="590" t="str">
        <f ca="1" xml:space="preserve"> IF(ROWS($1:1)&gt;COUNT(Dong3),"","Số hiệu TSCĐ:   "&amp;OFFSET('SO-TS'!$G$1,SMALL(Dong3,ROWS($1:1)),))</f>
        <v>Số hiệu TSCĐ:   SX01/11</v>
      </c>
      <c r="F11" s="590"/>
      <c r="H11" s="590"/>
    </row>
    <row r="12" spans="1:11" ht="15" customHeight="1">
      <c r="A12" s="590" t="str">
        <f ca="1" xml:space="preserve"> IF(ROWS($1:1)&gt;COUNT(Dong3),"","Nước sản xuất:   "&amp;OFFSET('SO-TS'!$E$1,SMALL(Dong3,ROWS($1:1)),))</f>
        <v>Nước sản xuất:   Việt Nam</v>
      </c>
      <c r="B12" s="590"/>
      <c r="C12" s="590"/>
      <c r="D12" s="590"/>
      <c r="E12" s="590" t="s">
        <v>388</v>
      </c>
      <c r="F12" s="590"/>
      <c r="G12" s="590"/>
      <c r="H12" s="590"/>
    </row>
    <row r="13" spans="1:11" ht="15" customHeight="1">
      <c r="A13" s="5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90"/>
      <c r="C13" s="590"/>
      <c r="D13" s="590"/>
      <c r="E13" s="590" t="str">
        <f ca="1" xml:space="preserve"> IF(ROWS($1:1)&gt;COUNT(Dong3),"","Tháng, năm đưa vào sử dụng:    "&amp;OFFSET('SO-TS'!$F$1,SMALL(Dong3,ROWS($1:1)),))</f>
        <v>Tháng, năm đưa vào sử dụng:    06/2011</v>
      </c>
      <c r="F13" s="590"/>
      <c r="G13" s="590"/>
      <c r="H13" s="590"/>
    </row>
    <row r="14" spans="1:11" ht="15" customHeight="1">
      <c r="A14" s="590" t="s">
        <v>370</v>
      </c>
      <c r="B14" s="590"/>
      <c r="C14" s="590"/>
      <c r="D14" s="590"/>
      <c r="E14" s="590"/>
      <c r="F14" s="590"/>
      <c r="G14" s="590"/>
      <c r="H14" s="590"/>
    </row>
    <row r="15" spans="1:11" ht="15" customHeight="1">
      <c r="A15" s="590" t="s">
        <v>390</v>
      </c>
      <c r="B15" s="590"/>
      <c r="C15" s="590"/>
      <c r="D15" s="590"/>
      <c r="E15" s="590"/>
      <c r="F15" s="590"/>
      <c r="G15" s="590"/>
      <c r="H15" s="590"/>
    </row>
    <row r="16" spans="1:11" ht="15" customHeight="1">
      <c r="A16" s="652" t="s">
        <v>389</v>
      </c>
      <c r="B16" s="652"/>
      <c r="C16" s="652"/>
      <c r="D16" s="652"/>
      <c r="E16" s="652"/>
      <c r="F16" s="652"/>
      <c r="G16" s="652"/>
      <c r="H16" s="652"/>
    </row>
    <row r="17" spans="1:8" s="646" customFormat="1" ht="18" customHeight="1">
      <c r="A17" s="1116" t="s">
        <v>132</v>
      </c>
      <c r="B17" s="1117"/>
      <c r="C17" s="1120" t="s">
        <v>371</v>
      </c>
      <c r="D17" s="1121"/>
      <c r="E17" s="1122"/>
      <c r="F17" s="1123" t="s">
        <v>372</v>
      </c>
      <c r="G17" s="1124"/>
      <c r="H17" s="1125"/>
    </row>
    <row r="18" spans="1:8" s="646" customFormat="1" ht="28.5" customHeight="1">
      <c r="A18" s="1118"/>
      <c r="B18" s="1119"/>
      <c r="C18" s="620" t="s">
        <v>373</v>
      </c>
      <c r="D18" s="620" t="s">
        <v>0</v>
      </c>
      <c r="E18" s="620" t="s">
        <v>374</v>
      </c>
      <c r="F18" s="620" t="s">
        <v>375</v>
      </c>
      <c r="G18" s="620" t="s">
        <v>376</v>
      </c>
      <c r="H18" s="620" t="s">
        <v>377</v>
      </c>
    </row>
    <row r="19" spans="1:8" s="648" customFormat="1">
      <c r="A19" s="1128" t="s">
        <v>2</v>
      </c>
      <c r="B19" s="1129"/>
      <c r="C19" s="647" t="s">
        <v>3</v>
      </c>
      <c r="D19" s="647" t="s">
        <v>4</v>
      </c>
      <c r="E19" s="647">
        <v>1</v>
      </c>
      <c r="F19" s="647">
        <v>2</v>
      </c>
      <c r="G19" s="647">
        <v>3</v>
      </c>
      <c r="H19" s="647">
        <v>4</v>
      </c>
    </row>
    <row r="20" spans="1:8" ht="17.25" customHeight="1">
      <c r="A20" s="558">
        <f ca="1">IF(B20&lt;&gt;"",ROW()-19,"")</f>
        <v>1</v>
      </c>
      <c r="B20" s="635" t="str">
        <f ca="1" xml:space="preserve"> IF(ROWS($1:1)&gt;COUNT(Dong3),"",OFFSET('SO-TS'!G$1,SMALL(Dong3,ROWS($1:1)),))</f>
        <v>SX01/11</v>
      </c>
      <c r="C20" s="635" t="str">
        <f ca="1" xml:space="preserve"> IF(ROWS($1:1)&gt;COUNT(Dong3),"",OFFSET('SO-TS'!F$1,SMALL(Dong3,ROWS($1:1)),))</f>
        <v>06/2011</v>
      </c>
      <c r="D20" s="661" t="str">
        <f ca="1" xml:space="preserve"> IF(ROWS($1:1)&gt;COUNT(Dong3),"",OFFSET('SO-TS'!D$1,SMALL(Dong3,ROWS($1:1)),))</f>
        <v>Máy chap khe khổ 2m</v>
      </c>
      <c r="E20" s="662">
        <f ca="1" xml:space="preserve"> IF(ROWS($1:1)&gt;COUNT(Dong3),"",OFFSET('SO-TS'!H$1,SMALL(Dong3,ROWS($1:1)),))</f>
        <v>18000000</v>
      </c>
      <c r="F20" s="663" t="str">
        <f ca="1" xml:space="preserve"> IF(ROWS($1:1)&gt;COUNT(Dong3),"",RIGHT(OFFSET('SO-TS'!F$1,SMALL(Dong3,ROWS($1:1)),),4))</f>
        <v>2011</v>
      </c>
      <c r="G20" s="58">
        <f ca="1">IF(F20="",0,ROUND(IF(OR(ROWS($1:$1)&gt;COUNT(Dong3),(ROW()-19)&gt;OFFSET('SO-TS'!I$1,SMALL(Dong3,ROWS($1:$1)),)),0,IF(VALUE(LEFT(C20,2))&gt;0,$E$27/(OFFSET('SO-TS'!I$1,SMALL(Dong3,ROWS($1:$1)),))/12*(13-VALUE(LEFT(C20,2))),$E$27/(OFFSET('SO-TS'!I$1,SMALL(Dong3,ROWS($1:$1)),)))),0))</f>
        <v>2100000</v>
      </c>
      <c r="H20" s="58">
        <f ca="1">G20</f>
        <v>2100000</v>
      </c>
    </row>
    <row r="21" spans="1:8" ht="17.25" customHeight="1">
      <c r="A21" s="558" t="str">
        <f t="shared" ref="A21:A26" ca="1" si="0">IF(B21&lt;&gt;"",ROW()-19,"")</f>
        <v/>
      </c>
      <c r="B21" s="635" t="str">
        <f ca="1" xml:space="preserve"> IF(ROWS($1:2)&gt;COUNT(Dong3),"",OFFSET('SO-TS'!B$1,SMALL(Dong3,ROWS($1:2)),))</f>
        <v/>
      </c>
      <c r="C21" s="635" t="str">
        <f ca="1" xml:space="preserve"> IF(ROWS($1:2)&gt;COUNT(Dong3),"",OFFSET('SO-TS'!F$1,SMALL(Dong3,ROWS($1:2)),))</f>
        <v/>
      </c>
      <c r="D21" s="661" t="str">
        <f ca="1" xml:space="preserve"> IF(ROWS($1:2)&gt;COUNT(Dong3),"",OFFSET('SO-TS'!D$1,SMALL(Dong3,ROWS($1:2)),))</f>
        <v/>
      </c>
      <c r="E21" s="662" t="str">
        <f ca="1" xml:space="preserve"> IF(ROWS($1:2)&gt;COUNT(Dong3),"",OFFSET('SO-TS'!H$1,SMALL(Dong3,ROWS($1:2)),))</f>
        <v/>
      </c>
      <c r="F21" s="663">
        <f ca="1">IF(OR(F20="",(ROW()-19)&gt;OFFSET('SO-TS'!I$1,SMALL(Dong3,ROWS($1:$1)),)+1),"",IF(VALUE(F20)&gt;=VALUE(YEAR(NOW())),"",F20+1))</f>
        <v>2012</v>
      </c>
      <c r="G21" s="58">
        <f ca="1">IF(F21="",0,ROUND(IF(OR(ROWS($1:$1)&gt;COUNT(Dong3),(ROW()-19)&gt;OFFSET('SO-TS'!I$1,SMALL(Dong3,ROWS($1:$1)),)+1),0,IF($E$27-H20&lt;($E$27/(OFFSET('SO-TS'!I$1,SMALL(Dong3,ROWS($1:$1)),))+12),$E$27-H20,$E$27/(OFFSET('SO-TS'!I$1,SMALL(Dong3,ROWS($1:$1)),)))),0))</f>
        <v>3600000</v>
      </c>
      <c r="H21" s="664">
        <f ca="1">IF(G21&lt;&gt;0,H20+G21,0)</f>
        <v>5700000</v>
      </c>
    </row>
    <row r="22" spans="1:8" ht="17.25" customHeight="1">
      <c r="A22" s="558" t="str">
        <f t="shared" ca="1" si="0"/>
        <v/>
      </c>
      <c r="B22" s="635" t="str">
        <f ca="1" xml:space="preserve"> IF(ROWS($1:3)&gt;COUNT(Dong3),"",OFFSET('SO-TS'!B$1,SMALL(Dong3,ROWS($1:3)),))</f>
        <v/>
      </c>
      <c r="C22" s="635" t="str">
        <f ca="1" xml:space="preserve"> IF(ROWS($1:3)&gt;COUNT(Dong3),"",OFFSET('SO-TS'!F$1,SMALL(Dong3,ROWS($1:3)),))</f>
        <v/>
      </c>
      <c r="D22" s="661" t="str">
        <f ca="1" xml:space="preserve"> IF(ROWS($1:3)&gt;COUNT(Dong3),"",OFFSET('SO-TS'!D$1,SMALL(Dong3,ROWS($1:3)),))</f>
        <v/>
      </c>
      <c r="E22" s="662" t="str">
        <f ca="1" xml:space="preserve"> IF(ROWS($1:3)&gt;COUNT(Dong3),"",OFFSET('SO-TS'!H$1,SMALL(Dong3,ROWS($1:3)),))</f>
        <v/>
      </c>
      <c r="F22" s="663">
        <f ca="1">IF(OR(F21="",(ROW()-19)&gt;OFFSET('SO-TS'!I$1,SMALL(Dong3,ROWS($1:$1)),)+1),"",IF(VALUE(F21)&gt;=VALUE(YEAR(NOW())),"",F21+1))</f>
        <v>2013</v>
      </c>
      <c r="G22" s="58">
        <f ca="1">IF(F22="",0,ROUND(IF(OR(ROWS($1:$1)&gt;COUNT(Dong3),(ROW()-19)&gt;OFFSET('SO-TS'!I$1,SMALL(Dong3,ROWS($1:$1)),)+1),0,IF($E$27-H21&lt;($E$27/(OFFSET('SO-TS'!I$1,SMALL(Dong3,ROWS($1:$1)),))+12),$E$27-H21,$E$27/(OFFSET('SO-TS'!I$1,SMALL(Dong3,ROWS($1:$1)),)))),0))</f>
        <v>3600000</v>
      </c>
      <c r="H22" s="664">
        <f t="shared" ref="H22:H24" ca="1" si="1">IF(G22&lt;&gt;0,H21+G22,0)</f>
        <v>9300000</v>
      </c>
    </row>
    <row r="23" spans="1:8" ht="17.25" customHeight="1">
      <c r="A23" s="558" t="str">
        <f t="shared" ca="1" si="0"/>
        <v/>
      </c>
      <c r="B23" s="635" t="str">
        <f ca="1" xml:space="preserve"> IF(ROWS($1:4)&gt;COUNT(Dong3),"",OFFSET('SO-TS'!B$1,SMALL(Dong3,ROWS($1:4)),))</f>
        <v/>
      </c>
      <c r="C23" s="635" t="str">
        <f ca="1" xml:space="preserve"> IF(ROWS($1:4)&gt;COUNT(Dong3),"",OFFSET('SO-TS'!F$1,SMALL(Dong3,ROWS($1:4)),))</f>
        <v/>
      </c>
      <c r="D23" s="661" t="str">
        <f ca="1" xml:space="preserve"> IF(ROWS($1:4)&gt;COUNT(Dong3),"",OFFSET('SO-TS'!D$1,SMALL(Dong3,ROWS($1:4)),))</f>
        <v/>
      </c>
      <c r="E23" s="662" t="str">
        <f ca="1" xml:space="preserve"> IF(ROWS($1:4)&gt;COUNT(Dong3),"",OFFSET('SO-TS'!H$1,SMALL(Dong3,ROWS($1:4)),))</f>
        <v/>
      </c>
      <c r="F23" s="663">
        <f ca="1">IF(OR(F22="",(ROW()-19)&gt;OFFSET('SO-TS'!I$1,SMALL(Dong3,ROWS($1:$1)),)+1),"",IF(VALUE(F22)&gt;=VALUE(YEAR(NOW())),"",F22+1))</f>
        <v>2014</v>
      </c>
      <c r="G23" s="58">
        <f ca="1">IF(F23="",0,ROUND(IF(OR(ROWS($1:$1)&gt;COUNT(Dong3),(ROW()-19)&gt;OFFSET('SO-TS'!I$1,SMALL(Dong3,ROWS($1:$1)),)+1),0,IF($E$27-H22&lt;($E$27/(OFFSET('SO-TS'!I$1,SMALL(Dong3,ROWS($1:$1)),))+12),$E$27-H22,$E$27/(OFFSET('SO-TS'!I$1,SMALL(Dong3,ROWS($1:$1)),)))),0))</f>
        <v>3600000</v>
      </c>
      <c r="H23" s="664">
        <f t="shared" ca="1" si="1"/>
        <v>12900000</v>
      </c>
    </row>
    <row r="24" spans="1:8" ht="17.25" customHeight="1">
      <c r="A24" s="558" t="str">
        <f t="shared" ca="1" si="0"/>
        <v/>
      </c>
      <c r="B24" s="635" t="str">
        <f ca="1" xml:space="preserve"> IF(ROWS($1:5)&gt;COUNT(Dong3),"",OFFSET('SO-TS'!B$1,SMALL(Dong3,ROWS($1:5)),))</f>
        <v/>
      </c>
      <c r="C24" s="635" t="str">
        <f ca="1" xml:space="preserve"> IF(ROWS($1:5)&gt;COUNT(Dong3),"",OFFSET('SO-TS'!F$1,SMALL(Dong3,ROWS($1:5)),))</f>
        <v/>
      </c>
      <c r="D24" s="661" t="str">
        <f ca="1" xml:space="preserve"> IF(ROWS($1:5)&gt;COUNT(Dong3),"",OFFSET('SO-TS'!D$1,SMALL(Dong3,ROWS($1:5)),))</f>
        <v/>
      </c>
      <c r="E24" s="662" t="str">
        <f ca="1" xml:space="preserve"> IF(ROWS($1:5)&gt;COUNT(Dong3),"",OFFSET('SO-TS'!H$1,SMALL(Dong3,ROWS($1:5)),))</f>
        <v/>
      </c>
      <c r="F24" s="663">
        <f ca="1">IF(OR(F23="",(ROW()-19)&gt;OFFSET('SO-TS'!I$1,SMALL(Dong3,ROWS($1:$1)),)+1),"",IF(VALUE(F23)&gt;=VALUE(YEAR(NOW())),"",F23+1))</f>
        <v>2015</v>
      </c>
      <c r="G24" s="58">
        <f ca="1">IF(F24="",0,ROUND(IF(OR(ROWS($1:$1)&gt;COUNT(Dong3),(ROW()-19)&gt;OFFSET('SO-TS'!I$1,SMALL(Dong3,ROWS($1:$1)),)+1),0,IF($E$27-H23&lt;($E$27/(OFFSET('SO-TS'!I$1,SMALL(Dong3,ROWS($1:$1)),))+12),$E$27-H23,$E$27/(OFFSET('SO-TS'!I$1,SMALL(Dong3,ROWS($1:$1)),)))),0))</f>
        <v>3600000</v>
      </c>
      <c r="H24" s="664">
        <f t="shared" ca="1" si="1"/>
        <v>16500000</v>
      </c>
    </row>
    <row r="25" spans="1:8" ht="17.25" customHeight="1">
      <c r="A25" s="558" t="str">
        <f t="shared" ca="1" si="0"/>
        <v/>
      </c>
      <c r="B25" s="635" t="str">
        <f ca="1" xml:space="preserve"> IF(ROWS($1:6)&gt;COUNT(Dong3),"",OFFSET('SO-TS'!B$1,SMALL(Dong3,ROWS($1:6)),))</f>
        <v/>
      </c>
      <c r="C25" s="635" t="str">
        <f ca="1" xml:space="preserve"> IF(ROWS($1:6)&gt;COUNT(Dong3),"",OFFSET('SO-TS'!F$1,SMALL(Dong3,ROWS($1:6)),))</f>
        <v/>
      </c>
      <c r="D25" s="661" t="str">
        <f ca="1" xml:space="preserve"> IF(ROWS($1:6)&gt;COUNT(Dong3),"",OFFSET('SO-TS'!D$1,SMALL(Dong3,ROWS($1:6)),))</f>
        <v/>
      </c>
      <c r="E25" s="662" t="str">
        <f ca="1" xml:space="preserve"> IF(ROWS($1:6)&gt;COUNT(Dong3),"",OFFSET('SO-TS'!H$1,SMALL(Dong3,ROWS($1:6)),))</f>
        <v/>
      </c>
      <c r="F25" s="663">
        <f ca="1">IF(OR(F24="",(ROW()-19)&gt;OFFSET('SO-TS'!I$1,SMALL(Dong3,ROWS($1:$1)),)+1),"",IF(VALUE(F24)&gt;=VALUE(YEAR(NOW())),"",F24+1))</f>
        <v>2016</v>
      </c>
      <c r="G25" s="58">
        <f ca="1">IF(F25="",0,ROUND(IF(OR(ROWS($1:$1)&gt;COUNT(Dong3),(ROW()-19)&gt;OFFSET('SO-TS'!I$1,SMALL(Dong3,ROWS($1:$1)),)+1),0,IF($E$27-H24&lt;($E$27/(OFFSET('SO-TS'!I$1,SMALL(Dong3,ROWS($1:$1)),))+12),$E$27-H24,$E$27/(OFFSET('SO-TS'!I$1,SMALL(Dong3,ROWS($1:$1)),)))),0))</f>
        <v>1500000</v>
      </c>
      <c r="H25" s="664">
        <f t="shared" ref="H25" ca="1" si="2">IF(G25&lt;&gt;0,H24+G25,0)</f>
        <v>18000000</v>
      </c>
    </row>
    <row r="26" spans="1:8" ht="17.25" customHeight="1">
      <c r="A26" s="558" t="str">
        <f t="shared" si="0"/>
        <v/>
      </c>
      <c r="B26" s="635"/>
      <c r="C26" s="635"/>
      <c r="D26" s="661"/>
      <c r="E26" s="662"/>
      <c r="F26" s="663" t="str">
        <f ca="1">IF(OR(F25="",(ROW()-19)&gt;OFFSET('SO-TS'!I$1,SMALL(Dong3,ROWS($1:$1)),)+1),"",IF(VALUE(F25)&gt;=VALUE(YEAR(NOW())),"",F25+1))</f>
        <v/>
      </c>
      <c r="G26" s="58"/>
      <c r="H26" s="664"/>
    </row>
    <row r="27" spans="1:8" ht="17.25" customHeight="1">
      <c r="A27" s="605"/>
      <c r="B27" s="605" t="s">
        <v>378</v>
      </c>
      <c r="C27" s="636"/>
      <c r="D27" s="636"/>
      <c r="E27" s="665">
        <f ca="1">SUM(E20:E26)</f>
        <v>18000000</v>
      </c>
      <c r="F27" s="636"/>
      <c r="G27" s="665">
        <f ca="1">SUM(G20:G26)</f>
        <v>18000000</v>
      </c>
      <c r="H27" s="665"/>
    </row>
    <row r="28" spans="1:8" ht="17.25" customHeight="1">
      <c r="A28" s="637"/>
      <c r="B28" s="637"/>
      <c r="C28" s="638"/>
      <c r="D28" s="638"/>
      <c r="E28" s="638"/>
      <c r="F28" s="638"/>
      <c r="G28" s="639"/>
      <c r="H28" s="639"/>
    </row>
    <row r="29" spans="1:8" ht="17.25" customHeight="1">
      <c r="A29" s="637"/>
      <c r="B29" s="637"/>
      <c r="C29" s="638"/>
      <c r="D29" s="638"/>
      <c r="E29" s="638"/>
      <c r="F29" s="638"/>
      <c r="G29" s="639"/>
      <c r="H29" s="639"/>
    </row>
    <row r="30" spans="1:8" ht="17.25" customHeight="1">
      <c r="A30" s="1130" t="s">
        <v>379</v>
      </c>
      <c r="B30" s="1130"/>
      <c r="C30" s="1130"/>
      <c r="D30" s="1130"/>
      <c r="E30" s="1130"/>
      <c r="F30" s="1130"/>
      <c r="G30" s="1130"/>
      <c r="H30" s="1130"/>
    </row>
    <row r="31" spans="1:8" ht="27" customHeight="1">
      <c r="A31" s="605" t="s">
        <v>35</v>
      </c>
      <c r="B31" s="1102" t="s">
        <v>380</v>
      </c>
      <c r="C31" s="1103"/>
      <c r="D31" s="636" t="s">
        <v>234</v>
      </c>
      <c r="E31" s="636" t="s">
        <v>381</v>
      </c>
      <c r="F31" s="636" t="s">
        <v>382</v>
      </c>
      <c r="G31" s="639"/>
      <c r="H31" s="639"/>
    </row>
    <row r="32" spans="1:8" ht="17.25" customHeight="1">
      <c r="A32" s="605" t="s">
        <v>2</v>
      </c>
      <c r="B32" s="605" t="s">
        <v>3</v>
      </c>
      <c r="C32" s="636"/>
      <c r="D32" s="636" t="s">
        <v>4</v>
      </c>
      <c r="E32" s="636">
        <v>1</v>
      </c>
      <c r="F32" s="636">
        <v>2</v>
      </c>
      <c r="G32" s="639"/>
      <c r="H32" s="639"/>
    </row>
    <row r="33" spans="1:8" ht="17.25" customHeight="1">
      <c r="A33" s="640"/>
      <c r="B33" s="640"/>
      <c r="C33" s="641"/>
      <c r="D33" s="641"/>
      <c r="E33" s="641"/>
      <c r="F33" s="641"/>
      <c r="G33" s="639"/>
      <c r="H33" s="639"/>
    </row>
    <row r="34" spans="1:8" ht="17.25" customHeight="1">
      <c r="A34" s="642"/>
      <c r="B34" s="642"/>
      <c r="C34" s="643"/>
      <c r="D34" s="643"/>
      <c r="E34" s="643"/>
      <c r="F34" s="643"/>
      <c r="G34" s="639"/>
      <c r="H34" s="639"/>
    </row>
    <row r="35" spans="1:8" ht="17.25" customHeight="1">
      <c r="A35" s="642"/>
      <c r="B35" s="642"/>
      <c r="C35" s="643"/>
      <c r="D35" s="643"/>
      <c r="E35" s="643"/>
      <c r="F35" s="643"/>
      <c r="G35" s="639"/>
      <c r="H35" s="639"/>
    </row>
    <row r="36" spans="1:8" ht="17.25" customHeight="1">
      <c r="A36" s="642"/>
      <c r="B36" s="642"/>
      <c r="C36" s="643"/>
      <c r="D36" s="643"/>
      <c r="E36" s="643"/>
      <c r="F36" s="643"/>
      <c r="G36" s="639"/>
      <c r="H36" s="639"/>
    </row>
    <row r="37" spans="1:8" ht="17.25" customHeight="1">
      <c r="A37" s="644"/>
      <c r="B37" s="644"/>
      <c r="C37" s="645"/>
      <c r="D37" s="645"/>
      <c r="E37" s="645"/>
      <c r="F37" s="645"/>
      <c r="G37" s="639"/>
      <c r="H37" s="639"/>
    </row>
    <row r="38" spans="1:8">
      <c r="A38" s="637"/>
      <c r="B38" s="637"/>
      <c r="C38" s="638"/>
      <c r="D38" s="638"/>
      <c r="E38" s="638"/>
      <c r="F38" s="638"/>
      <c r="G38" s="639"/>
      <c r="H38" s="639"/>
    </row>
    <row r="39" spans="1:8">
      <c r="A39" s="1131" t="str">
        <f ca="1" xml:space="preserve"> IF(ROWS($1:1)&gt;COUNT(Dong3),"","Ghi giảm TSCĐ chứng từ số:  "&amp;OFFSET('SO-TS'!$M$1,SMALL(Dong3,ROWS($1:1)),))</f>
        <v xml:space="preserve">Ghi giảm TSCĐ chứng từ số:  </v>
      </c>
      <c r="B39" s="1131"/>
      <c r="C39" s="1131"/>
      <c r="D39" s="1131"/>
      <c r="E39" s="1131"/>
      <c r="F39" s="1131"/>
      <c r="G39" s="1131"/>
      <c r="H39" s="1131"/>
    </row>
    <row r="40" spans="1:8">
      <c r="A40" s="1131" t="str">
        <f ca="1" xml:space="preserve"> IF(ROWS($1:1)&gt;COUNT(Dong3),"","Lý do giảm:   "&amp;OFFSET('SO-TS'!$O$1,SMALL(Dong3,ROWS($1:1)),))</f>
        <v xml:space="preserve">Lý do giảm:   </v>
      </c>
      <c r="B40" s="1131"/>
      <c r="C40" s="1131"/>
      <c r="D40" s="1131"/>
      <c r="E40" s="1131"/>
      <c r="F40" s="1131"/>
      <c r="G40" s="1131"/>
      <c r="H40" s="1131"/>
    </row>
    <row r="41" spans="1:8">
      <c r="A41" s="615"/>
      <c r="B41" s="615"/>
      <c r="C41" s="610"/>
      <c r="D41" s="610"/>
      <c r="E41" s="1115" t="s">
        <v>547</v>
      </c>
      <c r="F41" s="1115"/>
      <c r="G41" s="1115"/>
      <c r="H41" s="1115"/>
    </row>
    <row r="42" spans="1:8">
      <c r="A42" s="1112" t="s">
        <v>383</v>
      </c>
      <c r="B42" s="1112"/>
      <c r="C42" s="1112" t="s">
        <v>12</v>
      </c>
      <c r="D42" s="1112"/>
      <c r="E42" s="1113" t="s">
        <v>113</v>
      </c>
      <c r="F42" s="1113"/>
      <c r="G42" s="1113"/>
      <c r="H42" s="1113"/>
    </row>
    <row r="43" spans="1:8">
      <c r="A43" s="591"/>
      <c r="B43" s="591"/>
      <c r="C43" s="595"/>
      <c r="D43" s="595"/>
      <c r="E43" s="595"/>
      <c r="F43" s="595"/>
      <c r="G43" s="595"/>
      <c r="H43" s="595"/>
    </row>
    <row r="44" spans="1:8">
      <c r="A44" s="591"/>
      <c r="B44" s="591"/>
      <c r="C44" s="595"/>
      <c r="D44" s="595"/>
      <c r="E44" s="595"/>
      <c r="F44" s="595"/>
      <c r="G44" s="595"/>
      <c r="H44" s="595"/>
    </row>
    <row r="45" spans="1:8">
      <c r="A45" s="591"/>
      <c r="B45" s="591"/>
      <c r="C45" s="595"/>
      <c r="D45" s="595"/>
      <c r="E45" s="595"/>
      <c r="F45" s="595"/>
      <c r="G45" s="595"/>
      <c r="H45" s="595"/>
    </row>
    <row r="46" spans="1:8">
      <c r="A46" s="591"/>
      <c r="B46" s="591"/>
      <c r="C46" s="595"/>
      <c r="D46" s="595"/>
      <c r="E46" s="595"/>
      <c r="F46" s="595"/>
      <c r="G46" s="595"/>
      <c r="H46" s="595"/>
    </row>
    <row r="47" spans="1:8">
      <c r="A47" s="591"/>
      <c r="B47" s="591"/>
      <c r="C47" s="595"/>
      <c r="D47" s="595"/>
      <c r="E47" s="595"/>
      <c r="F47" s="595"/>
      <c r="G47" s="595"/>
      <c r="H47" s="595"/>
    </row>
    <row r="48" spans="1:8">
      <c r="A48" s="591"/>
      <c r="B48" s="591"/>
      <c r="C48" s="595"/>
      <c r="D48" s="595"/>
      <c r="E48" s="595"/>
      <c r="F48" s="595"/>
      <c r="G48" s="595"/>
      <c r="H48" s="595"/>
    </row>
    <row r="49" spans="1:8">
      <c r="A49" s="591"/>
      <c r="B49" s="591"/>
      <c r="C49" s="595"/>
      <c r="D49" s="595"/>
      <c r="E49" s="595"/>
      <c r="F49" s="595"/>
      <c r="G49" s="595"/>
      <c r="H49" s="595"/>
    </row>
    <row r="50" spans="1:8">
      <c r="A50" s="1114" t="s">
        <v>167</v>
      </c>
      <c r="B50" s="1114"/>
      <c r="C50" s="610"/>
      <c r="D50" s="610"/>
      <c r="E50" s="1115" t="s">
        <v>107</v>
      </c>
      <c r="F50" s="1115"/>
      <c r="G50" s="1115"/>
      <c r="H50" s="1115"/>
    </row>
  </sheetData>
  <dataConsolidate/>
  <mergeCells count="17">
    <mergeCell ref="E41:H41"/>
    <mergeCell ref="A17:B18"/>
    <mergeCell ref="C17:E17"/>
    <mergeCell ref="F17:H17"/>
    <mergeCell ref="A6:H6"/>
    <mergeCell ref="A7:H7"/>
    <mergeCell ref="A8:H8"/>
    <mergeCell ref="A19:B19"/>
    <mergeCell ref="A30:H30"/>
    <mergeCell ref="B31:C31"/>
    <mergeCell ref="A39:H39"/>
    <mergeCell ref="A40:H40"/>
    <mergeCell ref="A42:B42"/>
    <mergeCell ref="C42:D42"/>
    <mergeCell ref="E42:H42"/>
    <mergeCell ref="A50:B50"/>
    <mergeCell ref="E50:H50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34"/>
      <c r="E1" s="1134"/>
      <c r="F1" s="1134"/>
      <c r="G1" s="1134"/>
      <c r="I1" s="1134" t="s">
        <v>175</v>
      </c>
      <c r="J1" s="1134"/>
      <c r="K1" s="1134"/>
      <c r="L1" s="1134"/>
    </row>
    <row r="2" spans="1:12">
      <c r="A2" s="250" t="s">
        <v>121</v>
      </c>
      <c r="D2" s="1134"/>
      <c r="E2" s="1134"/>
      <c r="F2" s="1134"/>
      <c r="G2" s="1134"/>
      <c r="I2" s="1134" t="s">
        <v>171</v>
      </c>
      <c r="J2" s="1134"/>
      <c r="K2" s="1134"/>
      <c r="L2" s="1134"/>
    </row>
    <row r="3" spans="1:12">
      <c r="D3" s="1134"/>
      <c r="E3" s="1134"/>
      <c r="F3" s="1134"/>
      <c r="G3" s="1134"/>
      <c r="I3" s="1134" t="s">
        <v>176</v>
      </c>
      <c r="J3" s="1134"/>
      <c r="K3" s="1134"/>
      <c r="L3" s="1134"/>
    </row>
    <row r="8" spans="1:12" ht="40.5" customHeight="1">
      <c r="H8" s="271"/>
      <c r="I8" s="271"/>
      <c r="J8" s="271"/>
    </row>
    <row r="10" spans="1:12" ht="29.25" customHeight="1">
      <c r="A10" s="1132" t="s">
        <v>97</v>
      </c>
      <c r="B10" s="1132"/>
      <c r="C10" s="1132"/>
      <c r="D10" s="1132"/>
      <c r="E10" s="1132"/>
      <c r="F10" s="1132"/>
      <c r="G10" s="1132"/>
    </row>
    <row r="11" spans="1:12" ht="6" customHeight="1">
      <c r="H11" s="272"/>
      <c r="I11" s="272"/>
    </row>
    <row r="12" spans="1:12" ht="20.25">
      <c r="A12" s="1133" t="s">
        <v>177</v>
      </c>
      <c r="B12" s="1133"/>
      <c r="C12" s="1133"/>
      <c r="D12" s="1133"/>
      <c r="E12" s="1133"/>
      <c r="F12" s="1133"/>
      <c r="G12" s="1133"/>
    </row>
    <row r="13" spans="1:12" ht="64.5" customHeight="1"/>
    <row r="16" spans="1:12" ht="22.5" customHeight="1">
      <c r="B16" s="273" t="s">
        <v>178</v>
      </c>
    </row>
    <row r="17" spans="2:2" ht="22.5" customHeight="1">
      <c r="B17" s="273" t="s">
        <v>179</v>
      </c>
    </row>
    <row r="18" spans="2:2" ht="22.5" customHeight="1">
      <c r="B18" s="273" t="s">
        <v>180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48</vt:i4>
      </vt:variant>
    </vt:vector>
  </HeadingPairs>
  <TitlesOfParts>
    <vt:vector size="71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2016-05-08T04:13:11Z</dcterms:modified>
</cp:coreProperties>
</file>